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tables/table147.xml" ContentType="application/vnd.openxmlformats-officedocument.spreadsheetml.table+xml"/>
  <Override PartName="/xl/tables/table148.xml" ContentType="application/vnd.openxmlformats-officedocument.spreadsheetml.table+xml"/>
  <Override PartName="/xl/tables/table149.xml" ContentType="application/vnd.openxmlformats-officedocument.spreadsheetml.table+xml"/>
  <Override PartName="/xl/tables/table150.xml" ContentType="application/vnd.openxmlformats-officedocument.spreadsheetml.table+xml"/>
  <Override PartName="/xl/tables/table151.xml" ContentType="application/vnd.openxmlformats-officedocument.spreadsheetml.table+xml"/>
  <Override PartName="/xl/tables/table152.xml" ContentType="application/vnd.openxmlformats-officedocument.spreadsheetml.table+xml"/>
  <Override PartName="/xl/tables/table153.xml" ContentType="application/vnd.openxmlformats-officedocument.spreadsheetml.table+xml"/>
  <Override PartName="/xl/tables/table154.xml" ContentType="application/vnd.openxmlformats-officedocument.spreadsheetml.table+xml"/>
  <Override PartName="/xl/tables/table155.xml" ContentType="application/vnd.openxmlformats-officedocument.spreadsheetml.table+xml"/>
  <Override PartName="/xl/tables/table156.xml" ContentType="application/vnd.openxmlformats-officedocument.spreadsheetml.table+xml"/>
  <Override PartName="/xl/tables/table157.xml" ContentType="application/vnd.openxmlformats-officedocument.spreadsheetml.table+xml"/>
  <Override PartName="/xl/tables/table158.xml" ContentType="application/vnd.openxmlformats-officedocument.spreadsheetml.table+xml"/>
  <Override PartName="/xl/tables/table159.xml" ContentType="application/vnd.openxmlformats-officedocument.spreadsheetml.table+xml"/>
  <Override PartName="/xl/tables/table160.xml" ContentType="application/vnd.openxmlformats-officedocument.spreadsheetml.table+xml"/>
  <Override PartName="/xl/tables/table161.xml" ContentType="application/vnd.openxmlformats-officedocument.spreadsheetml.table+xml"/>
  <Override PartName="/xl/tables/table162.xml" ContentType="application/vnd.openxmlformats-officedocument.spreadsheetml.table+xml"/>
  <Override PartName="/xl/tables/table163.xml" ContentType="application/vnd.openxmlformats-officedocument.spreadsheetml.table+xml"/>
  <Override PartName="/xl/tables/table164.xml" ContentType="application/vnd.openxmlformats-officedocument.spreadsheetml.table+xml"/>
  <Override PartName="/xl/tables/table165.xml" ContentType="application/vnd.openxmlformats-officedocument.spreadsheetml.table+xml"/>
  <Override PartName="/xl/tables/table166.xml" ContentType="application/vnd.openxmlformats-officedocument.spreadsheetml.table+xml"/>
  <Override PartName="/xl/tables/table167.xml" ContentType="application/vnd.openxmlformats-officedocument.spreadsheetml.table+xml"/>
  <Override PartName="/xl/tables/table168.xml" ContentType="application/vnd.openxmlformats-officedocument.spreadsheetml.table+xml"/>
  <Override PartName="/xl/tables/table169.xml" ContentType="application/vnd.openxmlformats-officedocument.spreadsheetml.table+xml"/>
  <Override PartName="/xl/tables/table170.xml" ContentType="application/vnd.openxmlformats-officedocument.spreadsheetml.table+xml"/>
  <Override PartName="/xl/tables/table171.xml" ContentType="application/vnd.openxmlformats-officedocument.spreadsheetml.table+xml"/>
  <Override PartName="/xl/tables/table172.xml" ContentType="application/vnd.openxmlformats-officedocument.spreadsheetml.table+xml"/>
  <Override PartName="/xl/tables/table173.xml" ContentType="application/vnd.openxmlformats-officedocument.spreadsheetml.table+xml"/>
  <Override PartName="/xl/tables/table174.xml" ContentType="application/vnd.openxmlformats-officedocument.spreadsheetml.table+xml"/>
  <Override PartName="/xl/tables/table175.xml" ContentType="application/vnd.openxmlformats-officedocument.spreadsheetml.table+xml"/>
  <Override PartName="/xl/tables/table176.xml" ContentType="application/vnd.openxmlformats-officedocument.spreadsheetml.table+xml"/>
  <Override PartName="/xl/tables/table177.xml" ContentType="application/vnd.openxmlformats-officedocument.spreadsheetml.table+xml"/>
  <Override PartName="/xl/tables/table178.xml" ContentType="application/vnd.openxmlformats-officedocument.spreadsheetml.table+xml"/>
  <Override PartName="/xl/tables/table179.xml" ContentType="application/vnd.openxmlformats-officedocument.spreadsheetml.table+xml"/>
  <Override PartName="/xl/tables/table180.xml" ContentType="application/vnd.openxmlformats-officedocument.spreadsheetml.table+xml"/>
  <Override PartName="/xl/tables/table181.xml" ContentType="application/vnd.openxmlformats-officedocument.spreadsheetml.table+xml"/>
  <Override PartName="/xl/tables/table182.xml" ContentType="application/vnd.openxmlformats-officedocument.spreadsheetml.table+xml"/>
  <Override PartName="/xl/tables/table183.xml" ContentType="application/vnd.openxmlformats-officedocument.spreadsheetml.table+xml"/>
  <Override PartName="/xl/tables/table184.xml" ContentType="application/vnd.openxmlformats-officedocument.spreadsheetml.table+xml"/>
  <Override PartName="/xl/tables/table185.xml" ContentType="application/vnd.openxmlformats-officedocument.spreadsheetml.table+xml"/>
  <Override PartName="/xl/tables/table186.xml" ContentType="application/vnd.openxmlformats-officedocument.spreadsheetml.table+xml"/>
  <Override PartName="/xl/tables/table187.xml" ContentType="application/vnd.openxmlformats-officedocument.spreadsheetml.table+xml"/>
  <Override PartName="/xl/tables/table188.xml" ContentType="application/vnd.openxmlformats-officedocument.spreadsheetml.table+xml"/>
  <Override PartName="/xl/tables/table189.xml" ContentType="application/vnd.openxmlformats-officedocument.spreadsheetml.table+xml"/>
  <Override PartName="/xl/tables/table190.xml" ContentType="application/vnd.openxmlformats-officedocument.spreadsheetml.table+xml"/>
  <Override PartName="/xl/tables/table191.xml" ContentType="application/vnd.openxmlformats-officedocument.spreadsheetml.table+xml"/>
  <Override PartName="/xl/tables/table192.xml" ContentType="application/vnd.openxmlformats-officedocument.spreadsheetml.table+xml"/>
  <Override PartName="/xl/tables/table193.xml" ContentType="application/vnd.openxmlformats-officedocument.spreadsheetml.table+xml"/>
  <Override PartName="/xl/tables/table194.xml" ContentType="application/vnd.openxmlformats-officedocument.spreadsheetml.table+xml"/>
  <Override PartName="/xl/tables/table195.xml" ContentType="application/vnd.openxmlformats-officedocument.spreadsheetml.table+xml"/>
  <Override PartName="/xl/tables/table196.xml" ContentType="application/vnd.openxmlformats-officedocument.spreadsheetml.table+xml"/>
  <Override PartName="/xl/tables/table197.xml" ContentType="application/vnd.openxmlformats-officedocument.spreadsheetml.table+xml"/>
  <Override PartName="/xl/tables/table198.xml" ContentType="application/vnd.openxmlformats-officedocument.spreadsheetml.table+xml"/>
  <Override PartName="/xl/tables/table199.xml" ContentType="application/vnd.openxmlformats-officedocument.spreadsheetml.table+xml"/>
  <Override PartName="/xl/tables/table200.xml" ContentType="application/vnd.openxmlformats-officedocument.spreadsheetml.table+xml"/>
  <Override PartName="/xl/tables/table201.xml" ContentType="application/vnd.openxmlformats-officedocument.spreadsheetml.table+xml"/>
  <Override PartName="/xl/tables/table202.xml" ContentType="application/vnd.openxmlformats-officedocument.spreadsheetml.table+xml"/>
  <Override PartName="/xl/tables/table203.xml" ContentType="application/vnd.openxmlformats-officedocument.spreadsheetml.table+xml"/>
  <Override PartName="/xl/tables/table204.xml" ContentType="application/vnd.openxmlformats-officedocument.spreadsheetml.table+xml"/>
  <Override PartName="/xl/tables/table205.xml" ContentType="application/vnd.openxmlformats-officedocument.spreadsheetml.table+xml"/>
  <Override PartName="/xl/tables/table206.xml" ContentType="application/vnd.openxmlformats-officedocument.spreadsheetml.table+xml"/>
  <Override PartName="/xl/tables/table207.xml" ContentType="application/vnd.openxmlformats-officedocument.spreadsheetml.table+xml"/>
  <Override PartName="/xl/tables/table208.xml" ContentType="application/vnd.openxmlformats-officedocument.spreadsheetml.table+xml"/>
  <Override PartName="/xl/tables/table209.xml" ContentType="application/vnd.openxmlformats-officedocument.spreadsheetml.table+xml"/>
  <Override PartName="/xl/tables/table210.xml" ContentType="application/vnd.openxmlformats-officedocument.spreadsheetml.table+xml"/>
  <Override PartName="/xl/tables/table211.xml" ContentType="application/vnd.openxmlformats-officedocument.spreadsheetml.table+xml"/>
  <Override PartName="/xl/tables/table212.xml" ContentType="application/vnd.openxmlformats-officedocument.spreadsheetml.table+xml"/>
  <Override PartName="/xl/tables/table213.xml" ContentType="application/vnd.openxmlformats-officedocument.spreadsheetml.table+xml"/>
  <Override PartName="/xl/tables/table214.xml" ContentType="application/vnd.openxmlformats-officedocument.spreadsheetml.table+xml"/>
  <Override PartName="/xl/tables/table215.xml" ContentType="application/vnd.openxmlformats-officedocument.spreadsheetml.table+xml"/>
  <Override PartName="/xl/tables/table216.xml" ContentType="application/vnd.openxmlformats-officedocument.spreadsheetml.table+xml"/>
  <Override PartName="/xl/tables/table217.xml" ContentType="application/vnd.openxmlformats-officedocument.spreadsheetml.table+xml"/>
  <Override PartName="/xl/tables/table218.xml" ContentType="application/vnd.openxmlformats-officedocument.spreadsheetml.table+xml"/>
  <Override PartName="/xl/tables/table219.xml" ContentType="application/vnd.openxmlformats-officedocument.spreadsheetml.table+xml"/>
  <Override PartName="/xl/tables/table220.xml" ContentType="application/vnd.openxmlformats-officedocument.spreadsheetml.table+xml"/>
  <Override PartName="/xl/tables/table221.xml" ContentType="application/vnd.openxmlformats-officedocument.spreadsheetml.table+xml"/>
  <Override PartName="/xl/tables/table222.xml" ContentType="application/vnd.openxmlformats-officedocument.spreadsheetml.table+xml"/>
  <Override PartName="/xl/tables/table223.xml" ContentType="application/vnd.openxmlformats-officedocument.spreadsheetml.table+xml"/>
  <Override PartName="/xl/tables/table224.xml" ContentType="application/vnd.openxmlformats-officedocument.spreadsheetml.table+xml"/>
  <Override PartName="/xl/tables/table225.xml" ContentType="application/vnd.openxmlformats-officedocument.spreadsheetml.table+xml"/>
  <Override PartName="/xl/tables/table226.xml" ContentType="application/vnd.openxmlformats-officedocument.spreadsheetml.table+xml"/>
  <Override PartName="/xl/tables/table227.xml" ContentType="application/vnd.openxmlformats-officedocument.spreadsheetml.table+xml"/>
  <Override PartName="/xl/tables/table228.xml" ContentType="application/vnd.openxmlformats-officedocument.spreadsheetml.table+xml"/>
  <Override PartName="/xl/tables/table229.xml" ContentType="application/vnd.openxmlformats-officedocument.spreadsheetml.table+xml"/>
  <Override PartName="/xl/tables/table230.xml" ContentType="application/vnd.openxmlformats-officedocument.spreadsheetml.table+xml"/>
  <Override PartName="/xl/tables/table231.xml" ContentType="application/vnd.openxmlformats-officedocument.spreadsheetml.table+xml"/>
  <Override PartName="/xl/tables/table232.xml" ContentType="application/vnd.openxmlformats-officedocument.spreadsheetml.table+xml"/>
  <Override PartName="/xl/tables/table233.xml" ContentType="application/vnd.openxmlformats-officedocument.spreadsheetml.table+xml"/>
  <Override PartName="/xl/tables/table234.xml" ContentType="application/vnd.openxmlformats-officedocument.spreadsheetml.table+xml"/>
  <Override PartName="/xl/tables/table235.xml" ContentType="application/vnd.openxmlformats-officedocument.spreadsheetml.table+xml"/>
  <Override PartName="/xl/tables/table236.xml" ContentType="application/vnd.openxmlformats-officedocument.spreadsheetml.table+xml"/>
  <Override PartName="/xl/tables/table237.xml" ContentType="application/vnd.openxmlformats-officedocument.spreadsheetml.table+xml"/>
  <Override PartName="/xl/tables/table238.xml" ContentType="application/vnd.openxmlformats-officedocument.spreadsheetml.table+xml"/>
  <Override PartName="/xl/tables/table239.xml" ContentType="application/vnd.openxmlformats-officedocument.spreadsheetml.table+xml"/>
  <Override PartName="/xl/tables/table240.xml" ContentType="application/vnd.openxmlformats-officedocument.spreadsheetml.table+xml"/>
  <Override PartName="/xl/tables/table241.xml" ContentType="application/vnd.openxmlformats-officedocument.spreadsheetml.table+xml"/>
  <Override PartName="/xl/tables/table242.xml" ContentType="application/vnd.openxmlformats-officedocument.spreadsheetml.table+xml"/>
  <Override PartName="/xl/tables/table243.xml" ContentType="application/vnd.openxmlformats-officedocument.spreadsheetml.table+xml"/>
  <Override PartName="/xl/tables/table244.xml" ContentType="application/vnd.openxmlformats-officedocument.spreadsheetml.table+xml"/>
  <Override PartName="/xl/tables/table245.xml" ContentType="application/vnd.openxmlformats-officedocument.spreadsheetml.table+xml"/>
  <Override PartName="/xl/tables/table246.xml" ContentType="application/vnd.openxmlformats-officedocument.spreadsheetml.table+xml"/>
  <Override PartName="/xl/tables/table247.xml" ContentType="application/vnd.openxmlformats-officedocument.spreadsheetml.table+xml"/>
  <Override PartName="/xl/tables/table248.xml" ContentType="application/vnd.openxmlformats-officedocument.spreadsheetml.table+xml"/>
  <Override PartName="/xl/tables/table249.xml" ContentType="application/vnd.openxmlformats-officedocument.spreadsheetml.table+xml"/>
  <Override PartName="/xl/tables/table250.xml" ContentType="application/vnd.openxmlformats-officedocument.spreadsheetml.table+xml"/>
  <Override PartName="/xl/tables/table251.xml" ContentType="application/vnd.openxmlformats-officedocument.spreadsheetml.table+xml"/>
  <Override PartName="/xl/tables/table252.xml" ContentType="application/vnd.openxmlformats-officedocument.spreadsheetml.table+xml"/>
  <Override PartName="/xl/tables/table253.xml" ContentType="application/vnd.openxmlformats-officedocument.spreadsheetml.table+xml"/>
  <Override PartName="/xl/tables/table254.xml" ContentType="application/vnd.openxmlformats-officedocument.spreadsheetml.table+xml"/>
  <Override PartName="/xl/tables/table255.xml" ContentType="application/vnd.openxmlformats-officedocument.spreadsheetml.table+xml"/>
  <Override PartName="/xl/tables/table256.xml" ContentType="application/vnd.openxmlformats-officedocument.spreadsheetml.table+xml"/>
  <Override PartName="/xl/tables/table257.xml" ContentType="application/vnd.openxmlformats-officedocument.spreadsheetml.table+xml"/>
  <Override PartName="/xl/tables/table258.xml" ContentType="application/vnd.openxmlformats-officedocument.spreadsheetml.table+xml"/>
  <Override PartName="/xl/tables/table259.xml" ContentType="application/vnd.openxmlformats-officedocument.spreadsheetml.table+xml"/>
  <Override PartName="/xl/tables/table260.xml" ContentType="application/vnd.openxmlformats-officedocument.spreadsheetml.table+xml"/>
  <Override PartName="/xl/tables/table261.xml" ContentType="application/vnd.openxmlformats-officedocument.spreadsheetml.table+xml"/>
  <Override PartName="/xl/tables/table262.xml" ContentType="application/vnd.openxmlformats-officedocument.spreadsheetml.table+xml"/>
  <Override PartName="/xl/tables/table263.xml" ContentType="application/vnd.openxmlformats-officedocument.spreadsheetml.table+xml"/>
  <Override PartName="/xl/tables/table264.xml" ContentType="application/vnd.openxmlformats-officedocument.spreadsheetml.table+xml"/>
  <Override PartName="/xl/tables/table265.xml" ContentType="application/vnd.openxmlformats-officedocument.spreadsheetml.table+xml"/>
  <Override PartName="/xl/tables/table266.xml" ContentType="application/vnd.openxmlformats-officedocument.spreadsheetml.table+xml"/>
  <Override PartName="/xl/tables/table267.xml" ContentType="application/vnd.openxmlformats-officedocument.spreadsheetml.table+xml"/>
  <Override PartName="/xl/tables/table268.xml" ContentType="application/vnd.openxmlformats-officedocument.spreadsheetml.table+xml"/>
  <Override PartName="/xl/tables/table269.xml" ContentType="application/vnd.openxmlformats-officedocument.spreadsheetml.table+xml"/>
  <Override PartName="/xl/tables/table270.xml" ContentType="application/vnd.openxmlformats-officedocument.spreadsheetml.table+xml"/>
  <Override PartName="/xl/tables/table271.xml" ContentType="application/vnd.openxmlformats-officedocument.spreadsheetml.table+xml"/>
  <Override PartName="/xl/tables/table272.xml" ContentType="application/vnd.openxmlformats-officedocument.spreadsheetml.table+xml"/>
  <Override PartName="/xl/tables/table273.xml" ContentType="application/vnd.openxmlformats-officedocument.spreadsheetml.table+xml"/>
  <Override PartName="/xl/tables/table274.xml" ContentType="application/vnd.openxmlformats-officedocument.spreadsheetml.table+xml"/>
  <Override PartName="/xl/tables/table275.xml" ContentType="application/vnd.openxmlformats-officedocument.spreadsheetml.table+xml"/>
  <Override PartName="/xl/tables/table276.xml" ContentType="application/vnd.openxmlformats-officedocument.spreadsheetml.table+xml"/>
  <Override PartName="/xl/tables/table277.xml" ContentType="application/vnd.openxmlformats-officedocument.spreadsheetml.table+xml"/>
  <Override PartName="/xl/tables/table278.xml" ContentType="application/vnd.openxmlformats-officedocument.spreadsheetml.table+xml"/>
  <Override PartName="/xl/tables/table279.xml" ContentType="application/vnd.openxmlformats-officedocument.spreadsheetml.table+xml"/>
  <Override PartName="/xl/tables/table280.xml" ContentType="application/vnd.openxmlformats-officedocument.spreadsheetml.table+xml"/>
  <Override PartName="/xl/tables/table281.xml" ContentType="application/vnd.openxmlformats-officedocument.spreadsheetml.table+xml"/>
  <Override PartName="/xl/tables/table282.xml" ContentType="application/vnd.openxmlformats-officedocument.spreadsheetml.table+xml"/>
  <Override PartName="/xl/tables/table283.xml" ContentType="application/vnd.openxmlformats-officedocument.spreadsheetml.table+xml"/>
  <Override PartName="/xl/tables/table284.xml" ContentType="application/vnd.openxmlformats-officedocument.spreadsheetml.table+xml"/>
  <Override PartName="/xl/tables/table285.xml" ContentType="application/vnd.openxmlformats-officedocument.spreadsheetml.table+xml"/>
  <Override PartName="/xl/tables/table286.xml" ContentType="application/vnd.openxmlformats-officedocument.spreadsheetml.table+xml"/>
  <Override PartName="/xl/tables/table287.xml" ContentType="application/vnd.openxmlformats-officedocument.spreadsheetml.table+xml"/>
  <Override PartName="/xl/tables/table288.xml" ContentType="application/vnd.openxmlformats-officedocument.spreadsheetml.table+xml"/>
  <Override PartName="/xl/tables/table289.xml" ContentType="application/vnd.openxmlformats-officedocument.spreadsheetml.table+xml"/>
  <Override PartName="/xl/tables/table290.xml" ContentType="application/vnd.openxmlformats-officedocument.spreadsheetml.table+xml"/>
  <Override PartName="/xl/tables/table291.xml" ContentType="application/vnd.openxmlformats-officedocument.spreadsheetml.table+xml"/>
  <Override PartName="/xl/tables/table292.xml" ContentType="application/vnd.openxmlformats-officedocument.spreadsheetml.table+xml"/>
  <Override PartName="/xl/tables/table293.xml" ContentType="application/vnd.openxmlformats-officedocument.spreadsheetml.table+xml"/>
  <Override PartName="/xl/tables/table294.xml" ContentType="application/vnd.openxmlformats-officedocument.spreadsheetml.table+xml"/>
  <Override PartName="/xl/tables/table295.xml" ContentType="application/vnd.openxmlformats-officedocument.spreadsheetml.table+xml"/>
  <Override PartName="/xl/tables/table296.xml" ContentType="application/vnd.openxmlformats-officedocument.spreadsheetml.table+xml"/>
  <Override PartName="/xl/tables/table297.xml" ContentType="application/vnd.openxmlformats-officedocument.spreadsheetml.table+xml"/>
  <Override PartName="/xl/tables/table298.xml" ContentType="application/vnd.openxmlformats-officedocument.spreadsheetml.table+xml"/>
  <Override PartName="/xl/tables/table299.xml" ContentType="application/vnd.openxmlformats-officedocument.spreadsheetml.table+xml"/>
  <Override PartName="/xl/tables/table300.xml" ContentType="application/vnd.openxmlformats-officedocument.spreadsheetml.table+xml"/>
  <Override PartName="/xl/tables/table301.xml" ContentType="application/vnd.openxmlformats-officedocument.spreadsheetml.table+xml"/>
  <Override PartName="/xl/tables/table302.xml" ContentType="application/vnd.openxmlformats-officedocument.spreadsheetml.table+xml"/>
  <Override PartName="/xl/tables/table303.xml" ContentType="application/vnd.openxmlformats-officedocument.spreadsheetml.table+xml"/>
  <Override PartName="/xl/tables/table304.xml" ContentType="application/vnd.openxmlformats-officedocument.spreadsheetml.table+xml"/>
  <Override PartName="/xl/tables/table305.xml" ContentType="application/vnd.openxmlformats-officedocument.spreadsheetml.table+xml"/>
  <Override PartName="/xl/tables/table306.xml" ContentType="application/vnd.openxmlformats-officedocument.spreadsheetml.table+xml"/>
  <Override PartName="/xl/tables/table307.xml" ContentType="application/vnd.openxmlformats-officedocument.spreadsheetml.table+xml"/>
  <Override PartName="/xl/tables/table308.xml" ContentType="application/vnd.openxmlformats-officedocument.spreadsheetml.table+xml"/>
  <Override PartName="/xl/tables/table309.xml" ContentType="application/vnd.openxmlformats-officedocument.spreadsheetml.table+xml"/>
  <Override PartName="/xl/tables/table310.xml" ContentType="application/vnd.openxmlformats-officedocument.spreadsheetml.table+xml"/>
  <Override PartName="/xl/tables/table311.xml" ContentType="application/vnd.openxmlformats-officedocument.spreadsheetml.table+xml"/>
  <Override PartName="/xl/tables/table312.xml" ContentType="application/vnd.openxmlformats-officedocument.spreadsheetml.table+xml"/>
  <Override PartName="/xl/tables/table313.xml" ContentType="application/vnd.openxmlformats-officedocument.spreadsheetml.table+xml"/>
  <Override PartName="/xl/tables/table314.xml" ContentType="application/vnd.openxmlformats-officedocument.spreadsheetml.table+xml"/>
  <Override PartName="/xl/tables/table315.xml" ContentType="application/vnd.openxmlformats-officedocument.spreadsheetml.table+xml"/>
  <Override PartName="/xl/tables/table316.xml" ContentType="application/vnd.openxmlformats-officedocument.spreadsheetml.table+xml"/>
  <Override PartName="/xl/tables/table317.xml" ContentType="application/vnd.openxmlformats-officedocument.spreadsheetml.table+xml"/>
  <Override PartName="/xl/tables/table318.xml" ContentType="application/vnd.openxmlformats-officedocument.spreadsheetml.table+xml"/>
  <Override PartName="/xl/tables/table319.xml" ContentType="application/vnd.openxmlformats-officedocument.spreadsheetml.table+xml"/>
  <Override PartName="/xl/tables/table320.xml" ContentType="application/vnd.openxmlformats-officedocument.spreadsheetml.table+xml"/>
  <Override PartName="/xl/tables/table321.xml" ContentType="application/vnd.openxmlformats-officedocument.spreadsheetml.table+xml"/>
  <Override PartName="/xl/tables/table322.xml" ContentType="application/vnd.openxmlformats-officedocument.spreadsheetml.table+xml"/>
  <Override PartName="/xl/tables/table323.xml" ContentType="application/vnd.openxmlformats-officedocument.spreadsheetml.table+xml"/>
  <Override PartName="/xl/tables/table324.xml" ContentType="application/vnd.openxmlformats-officedocument.spreadsheetml.table+xml"/>
  <Override PartName="/xl/tables/table325.xml" ContentType="application/vnd.openxmlformats-officedocument.spreadsheetml.table+xml"/>
  <Override PartName="/xl/tables/table326.xml" ContentType="application/vnd.openxmlformats-officedocument.spreadsheetml.table+xml"/>
  <Override PartName="/xl/tables/table327.xml" ContentType="application/vnd.openxmlformats-officedocument.spreadsheetml.table+xml"/>
  <Override PartName="/xl/tables/table328.xml" ContentType="application/vnd.openxmlformats-officedocument.spreadsheetml.table+xml"/>
  <Override PartName="/xl/tables/table329.xml" ContentType="application/vnd.openxmlformats-officedocument.spreadsheetml.table+xml"/>
  <Override PartName="/xl/tables/table330.xml" ContentType="application/vnd.openxmlformats-officedocument.spreadsheetml.table+xml"/>
  <Override PartName="/xl/tables/table331.xml" ContentType="application/vnd.openxmlformats-officedocument.spreadsheetml.table+xml"/>
  <Override PartName="/xl/tables/table332.xml" ContentType="application/vnd.openxmlformats-officedocument.spreadsheetml.table+xml"/>
  <Override PartName="/xl/tables/table333.xml" ContentType="application/vnd.openxmlformats-officedocument.spreadsheetml.table+xml"/>
  <Override PartName="/xl/tables/table334.xml" ContentType="application/vnd.openxmlformats-officedocument.spreadsheetml.table+xml"/>
  <Override PartName="/xl/tables/table335.xml" ContentType="application/vnd.openxmlformats-officedocument.spreadsheetml.table+xml"/>
  <Override PartName="/xl/tables/table336.xml" ContentType="application/vnd.openxmlformats-officedocument.spreadsheetml.table+xml"/>
  <Override PartName="/xl/tables/table337.xml" ContentType="application/vnd.openxmlformats-officedocument.spreadsheetml.table+xml"/>
  <Override PartName="/xl/tables/table338.xml" ContentType="application/vnd.openxmlformats-officedocument.spreadsheetml.table+xml"/>
  <Override PartName="/xl/tables/table339.xml" ContentType="application/vnd.openxmlformats-officedocument.spreadsheetml.table+xml"/>
  <Override PartName="/xl/tables/table340.xml" ContentType="application/vnd.openxmlformats-officedocument.spreadsheetml.table+xml"/>
  <Override PartName="/xl/tables/table341.xml" ContentType="application/vnd.openxmlformats-officedocument.spreadsheetml.table+xml"/>
  <Override PartName="/xl/tables/table342.xml" ContentType="application/vnd.openxmlformats-officedocument.spreadsheetml.table+xml"/>
  <Override PartName="/xl/tables/table343.xml" ContentType="application/vnd.openxmlformats-officedocument.spreadsheetml.table+xml"/>
  <Override PartName="/xl/tables/table344.xml" ContentType="application/vnd.openxmlformats-officedocument.spreadsheetml.table+xml"/>
  <Override PartName="/xl/tables/table345.xml" ContentType="application/vnd.openxmlformats-officedocument.spreadsheetml.table+xml"/>
  <Override PartName="/xl/tables/table346.xml" ContentType="application/vnd.openxmlformats-officedocument.spreadsheetml.table+xml"/>
  <Override PartName="/xl/tables/table347.xml" ContentType="application/vnd.openxmlformats-officedocument.spreadsheetml.table+xml"/>
  <Override PartName="/xl/tables/table348.xml" ContentType="application/vnd.openxmlformats-officedocument.spreadsheetml.table+xml"/>
  <Override PartName="/xl/tables/table349.xml" ContentType="application/vnd.openxmlformats-officedocument.spreadsheetml.table+xml"/>
  <Override PartName="/xl/tables/table350.xml" ContentType="application/vnd.openxmlformats-officedocument.spreadsheetml.table+xml"/>
  <Override PartName="/xl/tables/table351.xml" ContentType="application/vnd.openxmlformats-officedocument.spreadsheetml.table+xml"/>
  <Override PartName="/xl/tables/table352.xml" ContentType="application/vnd.openxmlformats-officedocument.spreadsheetml.table+xml"/>
  <Override PartName="/xl/tables/table353.xml" ContentType="application/vnd.openxmlformats-officedocument.spreadsheetml.table+xml"/>
  <Override PartName="/xl/tables/table354.xml" ContentType="application/vnd.openxmlformats-officedocument.spreadsheetml.table+xml"/>
  <Override PartName="/xl/tables/table355.xml" ContentType="application/vnd.openxmlformats-officedocument.spreadsheetml.table+xml"/>
  <Override PartName="/xl/tables/table356.xml" ContentType="application/vnd.openxmlformats-officedocument.spreadsheetml.table+xml"/>
  <Override PartName="/xl/tables/table357.xml" ContentType="application/vnd.openxmlformats-officedocument.spreadsheetml.table+xml"/>
  <Override PartName="/xl/tables/table358.xml" ContentType="application/vnd.openxmlformats-officedocument.spreadsheetml.table+xml"/>
  <Override PartName="/xl/tables/table359.xml" ContentType="application/vnd.openxmlformats-officedocument.spreadsheetml.table+xml"/>
  <Override PartName="/xl/tables/table360.xml" ContentType="application/vnd.openxmlformats-officedocument.spreadsheetml.table+xml"/>
  <Override PartName="/xl/tables/table361.xml" ContentType="application/vnd.openxmlformats-officedocument.spreadsheetml.table+xml"/>
  <Override PartName="/xl/tables/table362.xml" ContentType="application/vnd.openxmlformats-officedocument.spreadsheetml.table+xml"/>
  <Override PartName="/xl/tables/table363.xml" ContentType="application/vnd.openxmlformats-officedocument.spreadsheetml.table+xml"/>
  <Override PartName="/xl/tables/table364.xml" ContentType="application/vnd.openxmlformats-officedocument.spreadsheetml.table+xml"/>
  <Override PartName="/xl/tables/table365.xml" ContentType="application/vnd.openxmlformats-officedocument.spreadsheetml.table+xml"/>
  <Override PartName="/xl/tables/table366.xml" ContentType="application/vnd.openxmlformats-officedocument.spreadsheetml.table+xml"/>
  <Override PartName="/xl/tables/table367.xml" ContentType="application/vnd.openxmlformats-officedocument.spreadsheetml.table+xml"/>
  <Override PartName="/xl/tables/table368.xml" ContentType="application/vnd.openxmlformats-officedocument.spreadsheetml.table+xml"/>
  <Override PartName="/xl/tables/table369.xml" ContentType="application/vnd.openxmlformats-officedocument.spreadsheetml.table+xml"/>
  <Override PartName="/xl/tables/table370.xml" ContentType="application/vnd.openxmlformats-officedocument.spreadsheetml.table+xml"/>
  <Override PartName="/xl/tables/table371.xml" ContentType="application/vnd.openxmlformats-officedocument.spreadsheetml.table+xml"/>
  <Override PartName="/xl/tables/table372.xml" ContentType="application/vnd.openxmlformats-officedocument.spreadsheetml.table+xml"/>
  <Override PartName="/xl/tables/table373.xml" ContentType="application/vnd.openxmlformats-officedocument.spreadsheetml.table+xml"/>
  <Override PartName="/xl/tables/table374.xml" ContentType="application/vnd.openxmlformats-officedocument.spreadsheetml.table+xml"/>
  <Override PartName="/xl/tables/table375.xml" ContentType="application/vnd.openxmlformats-officedocument.spreadsheetml.table+xml"/>
  <Override PartName="/xl/tables/table376.xml" ContentType="application/vnd.openxmlformats-officedocument.spreadsheetml.table+xml"/>
  <Override PartName="/xl/tables/table377.xml" ContentType="application/vnd.openxmlformats-officedocument.spreadsheetml.table+xml"/>
  <Override PartName="/xl/tables/table378.xml" ContentType="application/vnd.openxmlformats-officedocument.spreadsheetml.table+xml"/>
  <Override PartName="/xl/tables/table379.xml" ContentType="application/vnd.openxmlformats-officedocument.spreadsheetml.table+xml"/>
  <Override PartName="/xl/tables/table380.xml" ContentType="application/vnd.openxmlformats-officedocument.spreadsheetml.table+xml"/>
  <Override PartName="/xl/tables/table381.xml" ContentType="application/vnd.openxmlformats-officedocument.spreadsheetml.table+xml"/>
  <Override PartName="/xl/tables/table382.xml" ContentType="application/vnd.openxmlformats-officedocument.spreadsheetml.table+xml"/>
  <Override PartName="/xl/tables/table383.xml" ContentType="application/vnd.openxmlformats-officedocument.spreadsheetml.table+xml"/>
  <Override PartName="/xl/tables/table384.xml" ContentType="application/vnd.openxmlformats-officedocument.spreadsheetml.table+xml"/>
  <Override PartName="/xl/tables/table385.xml" ContentType="application/vnd.openxmlformats-officedocument.spreadsheetml.table+xml"/>
  <Override PartName="/xl/tables/table386.xml" ContentType="application/vnd.openxmlformats-officedocument.spreadsheetml.table+xml"/>
  <Override PartName="/xl/tables/table387.xml" ContentType="application/vnd.openxmlformats-officedocument.spreadsheetml.table+xml"/>
  <Override PartName="/xl/tables/table388.xml" ContentType="application/vnd.openxmlformats-officedocument.spreadsheetml.table+xml"/>
  <Override PartName="/xl/tables/table389.xml" ContentType="application/vnd.openxmlformats-officedocument.spreadsheetml.table+xml"/>
  <Override PartName="/xl/tables/table390.xml" ContentType="application/vnd.openxmlformats-officedocument.spreadsheetml.table+xml"/>
  <Override PartName="/xl/tables/table391.xml" ContentType="application/vnd.openxmlformats-officedocument.spreadsheetml.table+xml"/>
  <Override PartName="/xl/tables/table392.xml" ContentType="application/vnd.openxmlformats-officedocument.spreadsheetml.table+xml"/>
  <Override PartName="/xl/tables/table393.xml" ContentType="application/vnd.openxmlformats-officedocument.spreadsheetml.table+xml"/>
  <Override PartName="/xl/tables/table394.xml" ContentType="application/vnd.openxmlformats-officedocument.spreadsheetml.table+xml"/>
  <Override PartName="/xl/tables/table395.xml" ContentType="application/vnd.openxmlformats-officedocument.spreadsheetml.table+xml"/>
  <Override PartName="/xl/tables/table396.xml" ContentType="application/vnd.openxmlformats-officedocument.spreadsheetml.table+xml"/>
  <Override PartName="/xl/tables/table397.xml" ContentType="application/vnd.openxmlformats-officedocument.spreadsheetml.table+xml"/>
  <Override PartName="/xl/tables/table398.xml" ContentType="application/vnd.openxmlformats-officedocument.spreadsheetml.table+xml"/>
  <Override PartName="/xl/tables/table399.xml" ContentType="application/vnd.openxmlformats-officedocument.spreadsheetml.table+xml"/>
  <Override PartName="/xl/tables/table400.xml" ContentType="application/vnd.openxmlformats-officedocument.spreadsheetml.table+xml"/>
  <Override PartName="/xl/tables/table401.xml" ContentType="application/vnd.openxmlformats-officedocument.spreadsheetml.table+xml"/>
  <Override PartName="/xl/tables/table402.xml" ContentType="application/vnd.openxmlformats-officedocument.spreadsheetml.table+xml"/>
  <Override PartName="/xl/tables/table403.xml" ContentType="application/vnd.openxmlformats-officedocument.spreadsheetml.table+xml"/>
  <Override PartName="/xl/tables/table404.xml" ContentType="application/vnd.openxmlformats-officedocument.spreadsheetml.table+xml"/>
  <Override PartName="/xl/tables/table405.xml" ContentType="application/vnd.openxmlformats-officedocument.spreadsheetml.table+xml"/>
  <Override PartName="/xl/tables/table406.xml" ContentType="application/vnd.openxmlformats-officedocument.spreadsheetml.table+xml"/>
  <Override PartName="/xl/tables/table407.xml" ContentType="application/vnd.openxmlformats-officedocument.spreadsheetml.table+xml"/>
  <Override PartName="/xl/tables/table408.xml" ContentType="application/vnd.openxmlformats-officedocument.spreadsheetml.table+xml"/>
  <Override PartName="/xl/tables/table409.xml" ContentType="application/vnd.openxmlformats-officedocument.spreadsheetml.table+xml"/>
  <Override PartName="/xl/tables/table410.xml" ContentType="application/vnd.openxmlformats-officedocument.spreadsheetml.table+xml"/>
  <Override PartName="/xl/tables/table411.xml" ContentType="application/vnd.openxmlformats-officedocument.spreadsheetml.table+xml"/>
  <Override PartName="/xl/tables/table412.xml" ContentType="application/vnd.openxmlformats-officedocument.spreadsheetml.table+xml"/>
  <Override PartName="/xl/tables/table413.xml" ContentType="application/vnd.openxmlformats-officedocument.spreadsheetml.table+xml"/>
  <Override PartName="/xl/tables/table414.xml" ContentType="application/vnd.openxmlformats-officedocument.spreadsheetml.table+xml"/>
  <Override PartName="/xl/tables/table415.xml" ContentType="application/vnd.openxmlformats-officedocument.spreadsheetml.table+xml"/>
  <Override PartName="/xl/tables/table416.xml" ContentType="application/vnd.openxmlformats-officedocument.spreadsheetml.table+xml"/>
  <Override PartName="/xl/tables/table417.xml" ContentType="application/vnd.openxmlformats-officedocument.spreadsheetml.table+xml"/>
  <Override PartName="/xl/tables/table418.xml" ContentType="application/vnd.openxmlformats-officedocument.spreadsheetml.table+xml"/>
  <Override PartName="/xl/tables/table419.xml" ContentType="application/vnd.openxmlformats-officedocument.spreadsheetml.table+xml"/>
  <Override PartName="/xl/tables/table420.xml" ContentType="application/vnd.openxmlformats-officedocument.spreadsheetml.table+xml"/>
  <Override PartName="/xl/tables/table421.xml" ContentType="application/vnd.openxmlformats-officedocument.spreadsheetml.table+xml"/>
  <Override PartName="/xl/tables/table422.xml" ContentType="application/vnd.openxmlformats-officedocument.spreadsheetml.table+xml"/>
  <Override PartName="/xl/tables/table423.xml" ContentType="application/vnd.openxmlformats-officedocument.spreadsheetml.table+xml"/>
  <Override PartName="/xl/tables/table424.xml" ContentType="application/vnd.openxmlformats-officedocument.spreadsheetml.table+xml"/>
  <Override PartName="/xl/tables/table425.xml" ContentType="application/vnd.openxmlformats-officedocument.spreadsheetml.table+xml"/>
  <Override PartName="/xl/tables/table426.xml" ContentType="application/vnd.openxmlformats-officedocument.spreadsheetml.table+xml"/>
  <Override PartName="/xl/tables/table427.xml" ContentType="application/vnd.openxmlformats-officedocument.spreadsheetml.table+xml"/>
  <Override PartName="/xl/tables/table428.xml" ContentType="application/vnd.openxmlformats-officedocument.spreadsheetml.table+xml"/>
  <Override PartName="/xl/tables/table429.xml" ContentType="application/vnd.openxmlformats-officedocument.spreadsheetml.table+xml"/>
  <Override PartName="/xl/tables/table430.xml" ContentType="application/vnd.openxmlformats-officedocument.spreadsheetml.table+xml"/>
  <Override PartName="/xl/tables/table431.xml" ContentType="application/vnd.openxmlformats-officedocument.spreadsheetml.table+xml"/>
  <Override PartName="/xl/tables/table432.xml" ContentType="application/vnd.openxmlformats-officedocument.spreadsheetml.table+xml"/>
  <Override PartName="/xl/tables/table433.xml" ContentType="application/vnd.openxmlformats-officedocument.spreadsheetml.table+xml"/>
  <Override PartName="/xl/tables/table434.xml" ContentType="application/vnd.openxmlformats-officedocument.spreadsheetml.table+xml"/>
  <Override PartName="/xl/tables/table435.xml" ContentType="application/vnd.openxmlformats-officedocument.spreadsheetml.table+xml"/>
  <Override PartName="/xl/tables/table436.xml" ContentType="application/vnd.openxmlformats-officedocument.spreadsheetml.table+xml"/>
  <Override PartName="/xl/tables/table437.xml" ContentType="application/vnd.openxmlformats-officedocument.spreadsheetml.table+xml"/>
  <Override PartName="/xl/tables/table438.xml" ContentType="application/vnd.openxmlformats-officedocument.spreadsheetml.table+xml"/>
  <Override PartName="/xl/tables/table439.xml" ContentType="application/vnd.openxmlformats-officedocument.spreadsheetml.table+xml"/>
  <Override PartName="/xl/tables/table440.xml" ContentType="application/vnd.openxmlformats-officedocument.spreadsheetml.table+xml"/>
  <Override PartName="/xl/tables/table441.xml" ContentType="application/vnd.openxmlformats-officedocument.spreadsheetml.table+xml"/>
  <Override PartName="/xl/tables/table442.xml" ContentType="application/vnd.openxmlformats-officedocument.spreadsheetml.table+xml"/>
  <Override PartName="/xl/tables/table443.xml" ContentType="application/vnd.openxmlformats-officedocument.spreadsheetml.table+xml"/>
  <Override PartName="/xl/tables/table444.xml" ContentType="application/vnd.openxmlformats-officedocument.spreadsheetml.table+xml"/>
  <Override PartName="/xl/tables/table445.xml" ContentType="application/vnd.openxmlformats-officedocument.spreadsheetml.table+xml"/>
  <Override PartName="/xl/tables/table446.xml" ContentType="application/vnd.openxmlformats-officedocument.spreadsheetml.table+xml"/>
  <Override PartName="/xl/tables/table447.xml" ContentType="application/vnd.openxmlformats-officedocument.spreadsheetml.table+xml"/>
  <Override PartName="/xl/tables/table448.xml" ContentType="application/vnd.openxmlformats-officedocument.spreadsheetml.table+xml"/>
  <Override PartName="/xl/tables/table449.xml" ContentType="application/vnd.openxmlformats-officedocument.spreadsheetml.table+xml"/>
  <Override PartName="/xl/tables/table450.xml" ContentType="application/vnd.openxmlformats-officedocument.spreadsheetml.table+xml"/>
  <Override PartName="/xl/tables/table451.xml" ContentType="application/vnd.openxmlformats-officedocument.spreadsheetml.table+xml"/>
  <Override PartName="/xl/tables/table452.xml" ContentType="application/vnd.openxmlformats-officedocument.spreadsheetml.table+xml"/>
  <Override PartName="/xl/tables/table453.xml" ContentType="application/vnd.openxmlformats-officedocument.spreadsheetml.table+xml"/>
  <Override PartName="/xl/tables/table454.xml" ContentType="application/vnd.openxmlformats-officedocument.spreadsheetml.table+xml"/>
  <Override PartName="/xl/tables/table455.xml" ContentType="application/vnd.openxmlformats-officedocument.spreadsheetml.table+xml"/>
  <Override PartName="/xl/tables/table456.xml" ContentType="application/vnd.openxmlformats-officedocument.spreadsheetml.table+xml"/>
  <Override PartName="/xl/tables/table457.xml" ContentType="application/vnd.openxmlformats-officedocument.spreadsheetml.table+xml"/>
  <Override PartName="/xl/tables/table458.xml" ContentType="application/vnd.openxmlformats-officedocument.spreadsheetml.table+xml"/>
  <Override PartName="/xl/tables/table459.xml" ContentType="application/vnd.openxmlformats-officedocument.spreadsheetml.table+xml"/>
  <Override PartName="/xl/tables/table460.xml" ContentType="application/vnd.openxmlformats-officedocument.spreadsheetml.table+xml"/>
  <Override PartName="/xl/tables/table461.xml" ContentType="application/vnd.openxmlformats-officedocument.spreadsheetml.table+xml"/>
  <Override PartName="/xl/tables/table462.xml" ContentType="application/vnd.openxmlformats-officedocument.spreadsheetml.table+xml"/>
  <Override PartName="/xl/tables/table463.xml" ContentType="application/vnd.openxmlformats-officedocument.spreadsheetml.table+xml"/>
  <Override PartName="/xl/tables/table464.xml" ContentType="application/vnd.openxmlformats-officedocument.spreadsheetml.table+xml"/>
  <Override PartName="/xl/tables/table465.xml" ContentType="application/vnd.openxmlformats-officedocument.spreadsheetml.table+xml"/>
  <Override PartName="/xl/tables/table466.xml" ContentType="application/vnd.openxmlformats-officedocument.spreadsheetml.table+xml"/>
  <Override PartName="/xl/tables/table467.xml" ContentType="application/vnd.openxmlformats-officedocument.spreadsheetml.table+xml"/>
  <Override PartName="/xl/tables/table468.xml" ContentType="application/vnd.openxmlformats-officedocument.spreadsheetml.table+xml"/>
  <Override PartName="/xl/tables/table469.xml" ContentType="application/vnd.openxmlformats-officedocument.spreadsheetml.table+xml"/>
  <Override PartName="/xl/tables/table470.xml" ContentType="application/vnd.openxmlformats-officedocument.spreadsheetml.table+xml"/>
  <Override PartName="/xl/tables/table471.xml" ContentType="application/vnd.openxmlformats-officedocument.spreadsheetml.table+xml"/>
  <Override PartName="/xl/tables/table472.xml" ContentType="application/vnd.openxmlformats-officedocument.spreadsheetml.table+xml"/>
  <Override PartName="/xl/tables/table473.xml" ContentType="application/vnd.openxmlformats-officedocument.spreadsheetml.table+xml"/>
  <Override PartName="/xl/tables/table474.xml" ContentType="application/vnd.openxmlformats-officedocument.spreadsheetml.table+xml"/>
  <Override PartName="/xl/tables/table475.xml" ContentType="application/vnd.openxmlformats-officedocument.spreadsheetml.table+xml"/>
  <Override PartName="/xl/tables/table476.xml" ContentType="application/vnd.openxmlformats-officedocument.spreadsheetml.table+xml"/>
  <Override PartName="/xl/tables/table477.xml" ContentType="application/vnd.openxmlformats-officedocument.spreadsheetml.table+xml"/>
  <Override PartName="/xl/tables/table478.xml" ContentType="application/vnd.openxmlformats-officedocument.spreadsheetml.table+xml"/>
  <Override PartName="/xl/tables/table479.xml" ContentType="application/vnd.openxmlformats-officedocument.spreadsheetml.table+xml"/>
  <Override PartName="/xl/tables/table480.xml" ContentType="application/vnd.openxmlformats-officedocument.spreadsheetml.table+xml"/>
  <Override PartName="/xl/tables/table481.xml" ContentType="application/vnd.openxmlformats-officedocument.spreadsheetml.table+xml"/>
  <Override PartName="/xl/tables/table482.xml" ContentType="application/vnd.openxmlformats-officedocument.spreadsheetml.table+xml"/>
  <Override PartName="/xl/tables/table483.xml" ContentType="application/vnd.openxmlformats-officedocument.spreadsheetml.table+xml"/>
  <Override PartName="/xl/tables/table484.xml" ContentType="application/vnd.openxmlformats-officedocument.spreadsheetml.table+xml"/>
  <Override PartName="/xl/tables/table485.xml" ContentType="application/vnd.openxmlformats-officedocument.spreadsheetml.table+xml"/>
  <Override PartName="/xl/tables/table486.xml" ContentType="application/vnd.openxmlformats-officedocument.spreadsheetml.table+xml"/>
  <Override PartName="/xl/tables/table487.xml" ContentType="application/vnd.openxmlformats-officedocument.spreadsheetml.table+xml"/>
  <Override PartName="/xl/tables/table488.xml" ContentType="application/vnd.openxmlformats-officedocument.spreadsheetml.table+xml"/>
  <Override PartName="/xl/tables/table489.xml" ContentType="application/vnd.openxmlformats-officedocument.spreadsheetml.table+xml"/>
  <Override PartName="/xl/tables/table490.xml" ContentType="application/vnd.openxmlformats-officedocument.spreadsheetml.table+xml"/>
  <Override PartName="/xl/tables/table491.xml" ContentType="application/vnd.openxmlformats-officedocument.spreadsheetml.table+xml"/>
  <Override PartName="/xl/tables/table492.xml" ContentType="application/vnd.openxmlformats-officedocument.spreadsheetml.table+xml"/>
  <Override PartName="/xl/tables/table493.xml" ContentType="application/vnd.openxmlformats-officedocument.spreadsheetml.table+xml"/>
  <Override PartName="/xl/tables/table494.xml" ContentType="application/vnd.openxmlformats-officedocument.spreadsheetml.table+xml"/>
  <Override PartName="/xl/tables/table495.xml" ContentType="application/vnd.openxmlformats-officedocument.spreadsheetml.table+xml"/>
  <Override PartName="/xl/tables/table496.xml" ContentType="application/vnd.openxmlformats-officedocument.spreadsheetml.table+xml"/>
  <Override PartName="/xl/tables/table497.xml" ContentType="application/vnd.openxmlformats-officedocument.spreadsheetml.table+xml"/>
  <Override PartName="/xl/tables/table498.xml" ContentType="application/vnd.openxmlformats-officedocument.spreadsheetml.table+xml"/>
  <Override PartName="/xl/tables/table499.xml" ContentType="application/vnd.openxmlformats-officedocument.spreadsheetml.table+xml"/>
  <Override PartName="/xl/tables/table500.xml" ContentType="application/vnd.openxmlformats-officedocument.spreadsheetml.table+xml"/>
  <Override PartName="/xl/tables/table501.xml" ContentType="application/vnd.openxmlformats-officedocument.spreadsheetml.table+xml"/>
  <Override PartName="/xl/tables/table502.xml" ContentType="application/vnd.openxmlformats-officedocument.spreadsheetml.table+xml"/>
  <Override PartName="/xl/tables/table503.xml" ContentType="application/vnd.openxmlformats-officedocument.spreadsheetml.table+xml"/>
  <Override PartName="/xl/tables/table504.xml" ContentType="application/vnd.openxmlformats-officedocument.spreadsheetml.table+xml"/>
  <Override PartName="/xl/tables/table505.xml" ContentType="application/vnd.openxmlformats-officedocument.spreadsheetml.table+xml"/>
  <Override PartName="/xl/tables/table506.xml" ContentType="application/vnd.openxmlformats-officedocument.spreadsheetml.table+xml"/>
  <Override PartName="/xl/tables/table507.xml" ContentType="application/vnd.openxmlformats-officedocument.spreadsheetml.table+xml"/>
  <Override PartName="/xl/tables/table508.xml" ContentType="application/vnd.openxmlformats-officedocument.spreadsheetml.table+xml"/>
  <Override PartName="/xl/tables/table509.xml" ContentType="application/vnd.openxmlformats-officedocument.spreadsheetml.table+xml"/>
  <Override PartName="/xl/tables/table510.xml" ContentType="application/vnd.openxmlformats-officedocument.spreadsheetml.table+xml"/>
  <Override PartName="/xl/tables/table511.xml" ContentType="application/vnd.openxmlformats-officedocument.spreadsheetml.table+xml"/>
  <Override PartName="/xl/tables/table512.xml" ContentType="application/vnd.openxmlformats-officedocument.spreadsheetml.table+xml"/>
  <Override PartName="/xl/tables/table513.xml" ContentType="application/vnd.openxmlformats-officedocument.spreadsheetml.table+xml"/>
  <Override PartName="/xl/tables/table514.xml" ContentType="application/vnd.openxmlformats-officedocument.spreadsheetml.table+xml"/>
  <Override PartName="/xl/tables/table515.xml" ContentType="application/vnd.openxmlformats-officedocument.spreadsheetml.table+xml"/>
  <Override PartName="/xl/tables/table516.xml" ContentType="application/vnd.openxmlformats-officedocument.spreadsheetml.table+xml"/>
  <Override PartName="/xl/tables/table517.xml" ContentType="application/vnd.openxmlformats-officedocument.spreadsheetml.table+xml"/>
  <Override PartName="/xl/tables/table518.xml" ContentType="application/vnd.openxmlformats-officedocument.spreadsheetml.table+xml"/>
  <Override PartName="/xl/tables/table519.xml" ContentType="application/vnd.openxmlformats-officedocument.spreadsheetml.table+xml"/>
  <Override PartName="/xl/tables/table520.xml" ContentType="application/vnd.openxmlformats-officedocument.spreadsheetml.table+xml"/>
  <Override PartName="/xl/tables/table521.xml" ContentType="application/vnd.openxmlformats-officedocument.spreadsheetml.table+xml"/>
  <Override PartName="/xl/tables/table522.xml" ContentType="application/vnd.openxmlformats-officedocument.spreadsheetml.table+xml"/>
  <Override PartName="/xl/tables/table523.xml" ContentType="application/vnd.openxmlformats-officedocument.spreadsheetml.table+xml"/>
  <Override PartName="/xl/tables/table524.xml" ContentType="application/vnd.openxmlformats-officedocument.spreadsheetml.table+xml"/>
  <Override PartName="/xl/tables/table525.xml" ContentType="application/vnd.openxmlformats-officedocument.spreadsheetml.table+xml"/>
  <Override PartName="/xl/tables/table526.xml" ContentType="application/vnd.openxmlformats-officedocument.spreadsheetml.table+xml"/>
  <Override PartName="/xl/tables/table527.xml" ContentType="application/vnd.openxmlformats-officedocument.spreadsheetml.table+xml"/>
  <Override PartName="/xl/tables/table528.xml" ContentType="application/vnd.openxmlformats-officedocument.spreadsheetml.table+xml"/>
  <Override PartName="/xl/tables/table529.xml" ContentType="application/vnd.openxmlformats-officedocument.spreadsheetml.table+xml"/>
  <Override PartName="/xl/tables/table530.xml" ContentType="application/vnd.openxmlformats-officedocument.spreadsheetml.table+xml"/>
  <Override PartName="/xl/tables/table531.xml" ContentType="application/vnd.openxmlformats-officedocument.spreadsheetml.table+xml"/>
  <Override PartName="/xl/tables/table532.xml" ContentType="application/vnd.openxmlformats-officedocument.spreadsheetml.table+xml"/>
  <Override PartName="/xl/tables/table533.xml" ContentType="application/vnd.openxmlformats-officedocument.spreadsheetml.table+xml"/>
  <Override PartName="/xl/tables/table534.xml" ContentType="application/vnd.openxmlformats-officedocument.spreadsheetml.table+xml"/>
  <Override PartName="/xl/tables/table535.xml" ContentType="application/vnd.openxmlformats-officedocument.spreadsheetml.table+xml"/>
  <Override PartName="/xl/tables/table536.xml" ContentType="application/vnd.openxmlformats-officedocument.spreadsheetml.table+xml"/>
  <Override PartName="/xl/tables/table537.xml" ContentType="application/vnd.openxmlformats-officedocument.spreadsheetml.table+xml"/>
  <Override PartName="/xl/tables/table538.xml" ContentType="application/vnd.openxmlformats-officedocument.spreadsheetml.table+xml"/>
  <Override PartName="/xl/tables/table539.xml" ContentType="application/vnd.openxmlformats-officedocument.spreadsheetml.table+xml"/>
  <Override PartName="/xl/tables/table540.xml" ContentType="application/vnd.openxmlformats-officedocument.spreadsheetml.table+xml"/>
  <Override PartName="/xl/tables/table541.xml" ContentType="application/vnd.openxmlformats-officedocument.spreadsheetml.table+xml"/>
  <Override PartName="/xl/tables/table542.xml" ContentType="application/vnd.openxmlformats-officedocument.spreadsheetml.table+xml"/>
  <Override PartName="/xl/tables/table543.xml" ContentType="application/vnd.openxmlformats-officedocument.spreadsheetml.table+xml"/>
  <Override PartName="/xl/tables/table544.xml" ContentType="application/vnd.openxmlformats-officedocument.spreadsheetml.table+xml"/>
  <Override PartName="/xl/tables/table545.xml" ContentType="application/vnd.openxmlformats-officedocument.spreadsheetml.table+xml"/>
  <Override PartName="/xl/tables/table546.xml" ContentType="application/vnd.openxmlformats-officedocument.spreadsheetml.table+xml"/>
  <Override PartName="/xl/tables/table547.xml" ContentType="application/vnd.openxmlformats-officedocument.spreadsheetml.table+xml"/>
  <Override PartName="/xl/tables/table548.xml" ContentType="application/vnd.openxmlformats-officedocument.spreadsheetml.table+xml"/>
  <Override PartName="/xl/tables/table549.xml" ContentType="application/vnd.openxmlformats-officedocument.spreadsheetml.table+xml"/>
  <Override PartName="/xl/tables/table550.xml" ContentType="application/vnd.openxmlformats-officedocument.spreadsheetml.table+xml"/>
  <Override PartName="/xl/tables/table551.xml" ContentType="application/vnd.openxmlformats-officedocument.spreadsheetml.table+xml"/>
  <Override PartName="/xl/tables/table552.xml" ContentType="application/vnd.openxmlformats-officedocument.spreadsheetml.table+xml"/>
  <Override PartName="/xl/tables/table553.xml" ContentType="application/vnd.openxmlformats-officedocument.spreadsheetml.table+xml"/>
  <Override PartName="/xl/tables/table554.xml" ContentType="application/vnd.openxmlformats-officedocument.spreadsheetml.table+xml"/>
  <Override PartName="/xl/tables/table555.xml" ContentType="application/vnd.openxmlformats-officedocument.spreadsheetml.table+xml"/>
  <Override PartName="/xl/tables/table556.xml" ContentType="application/vnd.openxmlformats-officedocument.spreadsheetml.table+xml"/>
  <Override PartName="/xl/tables/table557.xml" ContentType="application/vnd.openxmlformats-officedocument.spreadsheetml.table+xml"/>
  <Override PartName="/xl/tables/table558.xml" ContentType="application/vnd.openxmlformats-officedocument.spreadsheetml.table+xml"/>
  <Override PartName="/xl/tables/table559.xml" ContentType="application/vnd.openxmlformats-officedocument.spreadsheetml.table+xml"/>
  <Override PartName="/xl/tables/table560.xml" ContentType="application/vnd.openxmlformats-officedocument.spreadsheetml.table+xml"/>
  <Override PartName="/xl/tables/table561.xml" ContentType="application/vnd.openxmlformats-officedocument.spreadsheetml.table+xml"/>
  <Override PartName="/xl/tables/table562.xml" ContentType="application/vnd.openxmlformats-officedocument.spreadsheetml.table+xml"/>
  <Override PartName="/xl/tables/table563.xml" ContentType="application/vnd.openxmlformats-officedocument.spreadsheetml.table+xml"/>
  <Override PartName="/xl/tables/table564.xml" ContentType="application/vnd.openxmlformats-officedocument.spreadsheetml.table+xml"/>
  <Override PartName="/xl/tables/table565.xml" ContentType="application/vnd.openxmlformats-officedocument.spreadsheetml.table+xml"/>
  <Override PartName="/xl/tables/table566.xml" ContentType="application/vnd.openxmlformats-officedocument.spreadsheetml.table+xml"/>
  <Override PartName="/xl/tables/table567.xml" ContentType="application/vnd.openxmlformats-officedocument.spreadsheetml.table+xml"/>
  <Override PartName="/xl/tables/table568.xml" ContentType="application/vnd.openxmlformats-officedocument.spreadsheetml.table+xml"/>
  <Override PartName="/xl/tables/table569.xml" ContentType="application/vnd.openxmlformats-officedocument.spreadsheetml.table+xml"/>
  <Override PartName="/xl/tables/table570.xml" ContentType="application/vnd.openxmlformats-officedocument.spreadsheetml.table+xml"/>
  <Override PartName="/xl/tables/table571.xml" ContentType="application/vnd.openxmlformats-officedocument.spreadsheetml.table+xml"/>
  <Override PartName="/xl/tables/table572.xml" ContentType="application/vnd.openxmlformats-officedocument.spreadsheetml.table+xml"/>
  <Override PartName="/xl/tables/table573.xml" ContentType="application/vnd.openxmlformats-officedocument.spreadsheetml.table+xml"/>
  <Override PartName="/xl/tables/table574.xml" ContentType="application/vnd.openxmlformats-officedocument.spreadsheetml.table+xml"/>
  <Override PartName="/xl/tables/table575.xml" ContentType="application/vnd.openxmlformats-officedocument.spreadsheetml.table+xml"/>
  <Override PartName="/xl/tables/table576.xml" ContentType="application/vnd.openxmlformats-officedocument.spreadsheetml.table+xml"/>
  <Override PartName="/xl/tables/table577.xml" ContentType="application/vnd.openxmlformats-officedocument.spreadsheetml.table+xml"/>
  <Override PartName="/xl/tables/table578.xml" ContentType="application/vnd.openxmlformats-officedocument.spreadsheetml.table+xml"/>
  <Override PartName="/xl/tables/table579.xml" ContentType="application/vnd.openxmlformats-officedocument.spreadsheetml.table+xml"/>
  <Override PartName="/xl/tables/table580.xml" ContentType="application/vnd.openxmlformats-officedocument.spreadsheetml.table+xml"/>
  <Override PartName="/xl/tables/table581.xml" ContentType="application/vnd.openxmlformats-officedocument.spreadsheetml.table+xml"/>
  <Override PartName="/xl/tables/table582.xml" ContentType="application/vnd.openxmlformats-officedocument.spreadsheetml.table+xml"/>
  <Override PartName="/xl/tables/table583.xml" ContentType="application/vnd.openxmlformats-officedocument.spreadsheetml.table+xml"/>
  <Override PartName="/xl/tables/table584.xml" ContentType="application/vnd.openxmlformats-officedocument.spreadsheetml.table+xml"/>
  <Override PartName="/xl/tables/table585.xml" ContentType="application/vnd.openxmlformats-officedocument.spreadsheetml.table+xml"/>
  <Override PartName="/xl/tables/table586.xml" ContentType="application/vnd.openxmlformats-officedocument.spreadsheetml.table+xml"/>
  <Override PartName="/xl/tables/table587.xml" ContentType="application/vnd.openxmlformats-officedocument.spreadsheetml.table+xml"/>
  <Override PartName="/xl/tables/table588.xml" ContentType="application/vnd.openxmlformats-officedocument.spreadsheetml.table+xml"/>
  <Override PartName="/xl/tables/table589.xml" ContentType="application/vnd.openxmlformats-officedocument.spreadsheetml.table+xml"/>
  <Override PartName="/xl/tables/table590.xml" ContentType="application/vnd.openxmlformats-officedocument.spreadsheetml.table+xml"/>
  <Override PartName="/xl/tables/table591.xml" ContentType="application/vnd.openxmlformats-officedocument.spreadsheetml.table+xml"/>
  <Override PartName="/xl/tables/table592.xml" ContentType="application/vnd.openxmlformats-officedocument.spreadsheetml.table+xml"/>
  <Override PartName="/xl/tables/table593.xml" ContentType="application/vnd.openxmlformats-officedocument.spreadsheetml.table+xml"/>
  <Override PartName="/xl/tables/table594.xml" ContentType="application/vnd.openxmlformats-officedocument.spreadsheetml.table+xml"/>
  <Override PartName="/xl/tables/table595.xml" ContentType="application/vnd.openxmlformats-officedocument.spreadsheetml.table+xml"/>
  <Override PartName="/xl/tables/table596.xml" ContentType="application/vnd.openxmlformats-officedocument.spreadsheetml.table+xml"/>
  <Override PartName="/xl/tables/table597.xml" ContentType="application/vnd.openxmlformats-officedocument.spreadsheetml.table+xml"/>
  <Override PartName="/xl/tables/table598.xml" ContentType="application/vnd.openxmlformats-officedocument.spreadsheetml.table+xml"/>
  <Override PartName="/xl/tables/table599.xml" ContentType="application/vnd.openxmlformats-officedocument.spreadsheetml.table+xml"/>
  <Override PartName="/xl/tables/table600.xml" ContentType="application/vnd.openxmlformats-officedocument.spreadsheetml.table+xml"/>
  <Override PartName="/xl/tables/table601.xml" ContentType="application/vnd.openxmlformats-officedocument.spreadsheetml.table+xml"/>
  <Override PartName="/xl/tables/table602.xml" ContentType="application/vnd.openxmlformats-officedocument.spreadsheetml.table+xml"/>
  <Override PartName="/xl/tables/table603.xml" ContentType="application/vnd.openxmlformats-officedocument.spreadsheetml.table+xml"/>
  <Override PartName="/xl/tables/table604.xml" ContentType="application/vnd.openxmlformats-officedocument.spreadsheetml.table+xml"/>
  <Override PartName="/xl/tables/table605.xml" ContentType="application/vnd.openxmlformats-officedocument.spreadsheetml.table+xml"/>
  <Override PartName="/xl/tables/table606.xml" ContentType="application/vnd.openxmlformats-officedocument.spreadsheetml.table+xml"/>
  <Override PartName="/xl/tables/table607.xml" ContentType="application/vnd.openxmlformats-officedocument.spreadsheetml.table+xml"/>
  <Override PartName="/xl/tables/table608.xml" ContentType="application/vnd.openxmlformats-officedocument.spreadsheetml.table+xml"/>
  <Override PartName="/xl/tables/table609.xml" ContentType="application/vnd.openxmlformats-officedocument.spreadsheetml.table+xml"/>
  <Override PartName="/xl/tables/table610.xml" ContentType="application/vnd.openxmlformats-officedocument.spreadsheetml.table+xml"/>
  <Override PartName="/xl/tables/table611.xml" ContentType="application/vnd.openxmlformats-officedocument.spreadsheetml.table+xml"/>
  <Override PartName="/xl/tables/table612.xml" ContentType="application/vnd.openxmlformats-officedocument.spreadsheetml.table+xml"/>
  <Override PartName="/xl/tables/table613.xml" ContentType="application/vnd.openxmlformats-officedocument.spreadsheetml.table+xml"/>
  <Override PartName="/xl/tables/table614.xml" ContentType="application/vnd.openxmlformats-officedocument.spreadsheetml.table+xml"/>
  <Override PartName="/xl/tables/table615.xml" ContentType="application/vnd.openxmlformats-officedocument.spreadsheetml.table+xml"/>
  <Override PartName="/xl/tables/table616.xml" ContentType="application/vnd.openxmlformats-officedocument.spreadsheetml.table+xml"/>
  <Override PartName="/xl/tables/table617.xml" ContentType="application/vnd.openxmlformats-officedocument.spreadsheetml.table+xml"/>
  <Override PartName="/xl/tables/table618.xml" ContentType="application/vnd.openxmlformats-officedocument.spreadsheetml.table+xml"/>
  <Override PartName="/xl/tables/table619.xml" ContentType="application/vnd.openxmlformats-officedocument.spreadsheetml.table+xml"/>
  <Override PartName="/xl/tables/table620.xml" ContentType="application/vnd.openxmlformats-officedocument.spreadsheetml.table+xml"/>
  <Override PartName="/xl/tables/table621.xml" ContentType="application/vnd.openxmlformats-officedocument.spreadsheetml.table+xml"/>
  <Override PartName="/xl/tables/table622.xml" ContentType="application/vnd.openxmlformats-officedocument.spreadsheetml.table+xml"/>
  <Override PartName="/xl/tables/table623.xml" ContentType="application/vnd.openxmlformats-officedocument.spreadsheetml.table+xml"/>
  <Override PartName="/xl/tables/table624.xml" ContentType="application/vnd.openxmlformats-officedocument.spreadsheetml.table+xml"/>
  <Override PartName="/xl/tables/table625.xml" ContentType="application/vnd.openxmlformats-officedocument.spreadsheetml.table+xml"/>
  <Override PartName="/xl/tables/table626.xml" ContentType="application/vnd.openxmlformats-officedocument.spreadsheetml.table+xml"/>
  <Override PartName="/xl/tables/table627.xml" ContentType="application/vnd.openxmlformats-officedocument.spreadsheetml.table+xml"/>
  <Override PartName="/xl/tables/table628.xml" ContentType="application/vnd.openxmlformats-officedocument.spreadsheetml.table+xml"/>
  <Override PartName="/xl/tables/table629.xml" ContentType="application/vnd.openxmlformats-officedocument.spreadsheetml.table+xml"/>
  <Override PartName="/xl/tables/table630.xml" ContentType="application/vnd.openxmlformats-officedocument.spreadsheetml.table+xml"/>
  <Override PartName="/xl/tables/table631.xml" ContentType="application/vnd.openxmlformats-officedocument.spreadsheetml.table+xml"/>
  <Override PartName="/xl/tables/table632.xml" ContentType="application/vnd.openxmlformats-officedocument.spreadsheetml.table+xml"/>
  <Override PartName="/xl/tables/table633.xml" ContentType="application/vnd.openxmlformats-officedocument.spreadsheetml.table+xml"/>
  <Override PartName="/xl/tables/table634.xml" ContentType="application/vnd.openxmlformats-officedocument.spreadsheetml.table+xml"/>
  <Override PartName="/xl/tables/table635.xml" ContentType="application/vnd.openxmlformats-officedocument.spreadsheetml.table+xml"/>
  <Override PartName="/xl/tables/table636.xml" ContentType="application/vnd.openxmlformats-officedocument.spreadsheetml.table+xml"/>
  <Override PartName="/xl/tables/table637.xml" ContentType="application/vnd.openxmlformats-officedocument.spreadsheetml.table+xml"/>
  <Override PartName="/xl/tables/table638.xml" ContentType="application/vnd.openxmlformats-officedocument.spreadsheetml.table+xml"/>
  <Override PartName="/xl/tables/table639.xml" ContentType="application/vnd.openxmlformats-officedocument.spreadsheetml.table+xml"/>
  <Override PartName="/xl/tables/table640.xml" ContentType="application/vnd.openxmlformats-officedocument.spreadsheetml.table+xml"/>
  <Override PartName="/xl/tables/table641.xml" ContentType="application/vnd.openxmlformats-officedocument.spreadsheetml.table+xml"/>
  <Override PartName="/xl/tables/table642.xml" ContentType="application/vnd.openxmlformats-officedocument.spreadsheetml.table+xml"/>
  <Override PartName="/xl/tables/table643.xml" ContentType="application/vnd.openxmlformats-officedocument.spreadsheetml.table+xml"/>
  <Override PartName="/xl/tables/table644.xml" ContentType="application/vnd.openxmlformats-officedocument.spreadsheetml.table+xml"/>
  <Override PartName="/xl/tables/table645.xml" ContentType="application/vnd.openxmlformats-officedocument.spreadsheetml.table+xml"/>
  <Override PartName="/xl/tables/table646.xml" ContentType="application/vnd.openxmlformats-officedocument.spreadsheetml.table+xml"/>
  <Override PartName="/xl/tables/table647.xml" ContentType="application/vnd.openxmlformats-officedocument.spreadsheetml.table+xml"/>
  <Override PartName="/xl/tables/table648.xml" ContentType="application/vnd.openxmlformats-officedocument.spreadsheetml.table+xml"/>
  <Override PartName="/xl/tables/table649.xml" ContentType="application/vnd.openxmlformats-officedocument.spreadsheetml.table+xml"/>
  <Override PartName="/xl/tables/table650.xml" ContentType="application/vnd.openxmlformats-officedocument.spreadsheetml.table+xml"/>
  <Override PartName="/xl/tables/table651.xml" ContentType="application/vnd.openxmlformats-officedocument.spreadsheetml.table+xml"/>
  <Override PartName="/xl/tables/table652.xml" ContentType="application/vnd.openxmlformats-officedocument.spreadsheetml.table+xml"/>
  <Override PartName="/xl/tables/table653.xml" ContentType="application/vnd.openxmlformats-officedocument.spreadsheetml.table+xml"/>
  <Override PartName="/xl/tables/table654.xml" ContentType="application/vnd.openxmlformats-officedocument.spreadsheetml.table+xml"/>
  <Override PartName="/xl/tables/table655.xml" ContentType="application/vnd.openxmlformats-officedocument.spreadsheetml.table+xml"/>
  <Override PartName="/xl/tables/table656.xml" ContentType="application/vnd.openxmlformats-officedocument.spreadsheetml.table+xml"/>
  <Override PartName="/xl/tables/table657.xml" ContentType="application/vnd.openxmlformats-officedocument.spreadsheetml.table+xml"/>
  <Override PartName="/xl/tables/table658.xml" ContentType="application/vnd.openxmlformats-officedocument.spreadsheetml.table+xml"/>
  <Override PartName="/xl/tables/table659.xml" ContentType="application/vnd.openxmlformats-officedocument.spreadsheetml.table+xml"/>
  <Override PartName="/xl/tables/table660.xml" ContentType="application/vnd.openxmlformats-officedocument.spreadsheetml.table+xml"/>
  <Override PartName="/xl/tables/table661.xml" ContentType="application/vnd.openxmlformats-officedocument.spreadsheetml.table+xml"/>
  <Override PartName="/xl/tables/table662.xml" ContentType="application/vnd.openxmlformats-officedocument.spreadsheetml.table+xml"/>
  <Override PartName="/xl/tables/table663.xml" ContentType="application/vnd.openxmlformats-officedocument.spreadsheetml.table+xml"/>
  <Override PartName="/xl/tables/table664.xml" ContentType="application/vnd.openxmlformats-officedocument.spreadsheetml.table+xml"/>
  <Override PartName="/xl/tables/table665.xml" ContentType="application/vnd.openxmlformats-officedocument.spreadsheetml.table+xml"/>
  <Override PartName="/xl/tables/table666.xml" ContentType="application/vnd.openxmlformats-officedocument.spreadsheetml.table+xml"/>
  <Override PartName="/xl/tables/table667.xml" ContentType="application/vnd.openxmlformats-officedocument.spreadsheetml.table+xml"/>
  <Override PartName="/xl/tables/table668.xml" ContentType="application/vnd.openxmlformats-officedocument.spreadsheetml.table+xml"/>
  <Override PartName="/xl/tables/table669.xml" ContentType="application/vnd.openxmlformats-officedocument.spreadsheetml.table+xml"/>
  <Override PartName="/xl/tables/table670.xml" ContentType="application/vnd.openxmlformats-officedocument.spreadsheetml.table+xml"/>
  <Override PartName="/xl/tables/table671.xml" ContentType="application/vnd.openxmlformats-officedocument.spreadsheetml.table+xml"/>
  <Override PartName="/xl/tables/table672.xml" ContentType="application/vnd.openxmlformats-officedocument.spreadsheetml.table+xml"/>
  <Override PartName="/xl/tables/table673.xml" ContentType="application/vnd.openxmlformats-officedocument.spreadsheetml.table+xml"/>
  <Override PartName="/xl/tables/table674.xml" ContentType="application/vnd.openxmlformats-officedocument.spreadsheetml.table+xml"/>
  <Override PartName="/xl/tables/table675.xml" ContentType="application/vnd.openxmlformats-officedocument.spreadsheetml.table+xml"/>
  <Override PartName="/xl/tables/table676.xml" ContentType="application/vnd.openxmlformats-officedocument.spreadsheetml.table+xml"/>
  <Override PartName="/xl/tables/table677.xml" ContentType="application/vnd.openxmlformats-officedocument.spreadsheetml.table+xml"/>
  <Override PartName="/xl/tables/table678.xml" ContentType="application/vnd.openxmlformats-officedocument.spreadsheetml.table+xml"/>
  <Override PartName="/xl/tables/table679.xml" ContentType="application/vnd.openxmlformats-officedocument.spreadsheetml.table+xml"/>
  <Override PartName="/xl/tables/table680.xml" ContentType="application/vnd.openxmlformats-officedocument.spreadsheetml.table+xml"/>
  <Override PartName="/xl/tables/table681.xml" ContentType="application/vnd.openxmlformats-officedocument.spreadsheetml.table+xml"/>
  <Override PartName="/xl/tables/table682.xml" ContentType="application/vnd.openxmlformats-officedocument.spreadsheetml.table+xml"/>
  <Override PartName="/xl/tables/table683.xml" ContentType="application/vnd.openxmlformats-officedocument.spreadsheetml.table+xml"/>
  <Override PartName="/xl/tables/table684.xml" ContentType="application/vnd.openxmlformats-officedocument.spreadsheetml.table+xml"/>
  <Override PartName="/xl/tables/table685.xml" ContentType="application/vnd.openxmlformats-officedocument.spreadsheetml.table+xml"/>
  <Override PartName="/xl/tables/table686.xml" ContentType="application/vnd.openxmlformats-officedocument.spreadsheetml.table+xml"/>
  <Override PartName="/xl/tables/table687.xml" ContentType="application/vnd.openxmlformats-officedocument.spreadsheetml.table+xml"/>
  <Override PartName="/xl/tables/table688.xml" ContentType="application/vnd.openxmlformats-officedocument.spreadsheetml.table+xml"/>
  <Override PartName="/xl/tables/table689.xml" ContentType="application/vnd.openxmlformats-officedocument.spreadsheetml.table+xml"/>
  <Override PartName="/xl/tables/table690.xml" ContentType="application/vnd.openxmlformats-officedocument.spreadsheetml.table+xml"/>
  <Override PartName="/xl/tables/table691.xml" ContentType="application/vnd.openxmlformats-officedocument.spreadsheetml.table+xml"/>
  <Override PartName="/xl/tables/table692.xml" ContentType="application/vnd.openxmlformats-officedocument.spreadsheetml.table+xml"/>
  <Override PartName="/xl/tables/table693.xml" ContentType="application/vnd.openxmlformats-officedocument.spreadsheetml.table+xml"/>
  <Override PartName="/xl/tables/table694.xml" ContentType="application/vnd.openxmlformats-officedocument.spreadsheetml.table+xml"/>
  <Override PartName="/xl/tables/table695.xml" ContentType="application/vnd.openxmlformats-officedocument.spreadsheetml.table+xml"/>
  <Override PartName="/xl/tables/table696.xml" ContentType="application/vnd.openxmlformats-officedocument.spreadsheetml.table+xml"/>
  <Override PartName="/xl/tables/table697.xml" ContentType="application/vnd.openxmlformats-officedocument.spreadsheetml.table+xml"/>
  <Override PartName="/xl/tables/table698.xml" ContentType="application/vnd.openxmlformats-officedocument.spreadsheetml.table+xml"/>
  <Override PartName="/xl/tables/table699.xml" ContentType="application/vnd.openxmlformats-officedocument.spreadsheetml.table+xml"/>
  <Override PartName="/xl/tables/table700.xml" ContentType="application/vnd.openxmlformats-officedocument.spreadsheetml.table+xml"/>
  <Override PartName="/xl/tables/table701.xml" ContentType="application/vnd.openxmlformats-officedocument.spreadsheetml.table+xml"/>
  <Override PartName="/xl/tables/table702.xml" ContentType="application/vnd.openxmlformats-officedocument.spreadsheetml.table+xml"/>
  <Override PartName="/xl/tables/table703.xml" ContentType="application/vnd.openxmlformats-officedocument.spreadsheetml.table+xml"/>
  <Override PartName="/xl/tables/table704.xml" ContentType="application/vnd.openxmlformats-officedocument.spreadsheetml.table+xml"/>
  <Override PartName="/xl/tables/table705.xml" ContentType="application/vnd.openxmlformats-officedocument.spreadsheetml.table+xml"/>
  <Override PartName="/xl/tables/table706.xml" ContentType="application/vnd.openxmlformats-officedocument.spreadsheetml.table+xml"/>
  <Override PartName="/xl/tables/table707.xml" ContentType="application/vnd.openxmlformats-officedocument.spreadsheetml.table+xml"/>
  <Override PartName="/xl/tables/table708.xml" ContentType="application/vnd.openxmlformats-officedocument.spreadsheetml.table+xml"/>
  <Override PartName="/xl/tables/table709.xml" ContentType="application/vnd.openxmlformats-officedocument.spreadsheetml.table+xml"/>
  <Override PartName="/xl/tables/table710.xml" ContentType="application/vnd.openxmlformats-officedocument.spreadsheetml.table+xml"/>
  <Override PartName="/xl/tables/table711.xml" ContentType="application/vnd.openxmlformats-officedocument.spreadsheetml.table+xml"/>
  <Override PartName="/xl/tables/table712.xml" ContentType="application/vnd.openxmlformats-officedocument.spreadsheetml.table+xml"/>
  <Override PartName="/xl/tables/table713.xml" ContentType="application/vnd.openxmlformats-officedocument.spreadsheetml.table+xml"/>
  <Override PartName="/xl/tables/table714.xml" ContentType="application/vnd.openxmlformats-officedocument.spreadsheetml.table+xml"/>
  <Override PartName="/xl/tables/table715.xml" ContentType="application/vnd.openxmlformats-officedocument.spreadsheetml.table+xml"/>
  <Override PartName="/xl/tables/table716.xml" ContentType="application/vnd.openxmlformats-officedocument.spreadsheetml.table+xml"/>
  <Override PartName="/xl/tables/table717.xml" ContentType="application/vnd.openxmlformats-officedocument.spreadsheetml.table+xml"/>
  <Override PartName="/xl/tables/table718.xml" ContentType="application/vnd.openxmlformats-officedocument.spreadsheetml.table+xml"/>
  <Override PartName="/xl/tables/table719.xml" ContentType="application/vnd.openxmlformats-officedocument.spreadsheetml.table+xml"/>
  <Override PartName="/xl/tables/table720.xml" ContentType="application/vnd.openxmlformats-officedocument.spreadsheetml.table+xml"/>
  <Override PartName="/xl/tables/table721.xml" ContentType="application/vnd.openxmlformats-officedocument.spreadsheetml.table+xml"/>
  <Override PartName="/xl/tables/table722.xml" ContentType="application/vnd.openxmlformats-officedocument.spreadsheetml.table+xml"/>
  <Override PartName="/xl/tables/table723.xml" ContentType="application/vnd.openxmlformats-officedocument.spreadsheetml.table+xml"/>
  <Override PartName="/xl/tables/table724.xml" ContentType="application/vnd.openxmlformats-officedocument.spreadsheetml.table+xml"/>
  <Override PartName="/xl/tables/table725.xml" ContentType="application/vnd.openxmlformats-officedocument.spreadsheetml.table+xml"/>
  <Override PartName="/xl/tables/table726.xml" ContentType="application/vnd.openxmlformats-officedocument.spreadsheetml.table+xml"/>
  <Override PartName="/xl/tables/table727.xml" ContentType="application/vnd.openxmlformats-officedocument.spreadsheetml.table+xml"/>
  <Override PartName="/xl/tables/table728.xml" ContentType="application/vnd.openxmlformats-officedocument.spreadsheetml.table+xml"/>
  <Override PartName="/xl/tables/table729.xml" ContentType="application/vnd.openxmlformats-officedocument.spreadsheetml.table+xml"/>
  <Override PartName="/xl/tables/table730.xml" ContentType="application/vnd.openxmlformats-officedocument.spreadsheetml.table+xml"/>
  <Override PartName="/xl/tables/table731.xml" ContentType="application/vnd.openxmlformats-officedocument.spreadsheetml.table+xml"/>
  <Override PartName="/xl/tables/table732.xml" ContentType="application/vnd.openxmlformats-officedocument.spreadsheetml.table+xml"/>
  <Override PartName="/xl/tables/table733.xml" ContentType="application/vnd.openxmlformats-officedocument.spreadsheetml.table+xml"/>
  <Override PartName="/xl/tables/table734.xml" ContentType="application/vnd.openxmlformats-officedocument.spreadsheetml.table+xml"/>
  <Override PartName="/xl/tables/table735.xml" ContentType="application/vnd.openxmlformats-officedocument.spreadsheetml.table+xml"/>
  <Override PartName="/xl/tables/table736.xml" ContentType="application/vnd.openxmlformats-officedocument.spreadsheetml.table+xml"/>
  <Override PartName="/xl/tables/table737.xml" ContentType="application/vnd.openxmlformats-officedocument.spreadsheetml.table+xml"/>
  <Override PartName="/xl/tables/table738.xml" ContentType="application/vnd.openxmlformats-officedocument.spreadsheetml.table+xml"/>
  <Override PartName="/xl/tables/table739.xml" ContentType="application/vnd.openxmlformats-officedocument.spreadsheetml.table+xml"/>
  <Override PartName="/xl/tables/table740.xml" ContentType="application/vnd.openxmlformats-officedocument.spreadsheetml.table+xml"/>
  <Override PartName="/xl/tables/table741.xml" ContentType="application/vnd.openxmlformats-officedocument.spreadsheetml.table+xml"/>
  <Override PartName="/xl/tables/table742.xml" ContentType="application/vnd.openxmlformats-officedocument.spreadsheetml.table+xml"/>
  <Override PartName="/xl/tables/table743.xml" ContentType="application/vnd.openxmlformats-officedocument.spreadsheetml.table+xml"/>
  <Override PartName="/xl/tables/table744.xml" ContentType="application/vnd.openxmlformats-officedocument.spreadsheetml.table+xml"/>
  <Override PartName="/xl/tables/table745.xml" ContentType="application/vnd.openxmlformats-officedocument.spreadsheetml.table+xml"/>
  <Override PartName="/xl/tables/table746.xml" ContentType="application/vnd.openxmlformats-officedocument.spreadsheetml.table+xml"/>
  <Override PartName="/xl/tables/table747.xml" ContentType="application/vnd.openxmlformats-officedocument.spreadsheetml.table+xml"/>
  <Override PartName="/xl/tables/table748.xml" ContentType="application/vnd.openxmlformats-officedocument.spreadsheetml.table+xml"/>
  <Override PartName="/xl/tables/table749.xml" ContentType="application/vnd.openxmlformats-officedocument.spreadsheetml.table+xml"/>
  <Override PartName="/xl/tables/table750.xml" ContentType="application/vnd.openxmlformats-officedocument.spreadsheetml.table+xml"/>
  <Override PartName="/xl/tables/table751.xml" ContentType="application/vnd.openxmlformats-officedocument.spreadsheetml.table+xml"/>
  <Override PartName="/xl/tables/table752.xml" ContentType="application/vnd.openxmlformats-officedocument.spreadsheetml.table+xml"/>
  <Override PartName="/xl/tables/table753.xml" ContentType="application/vnd.openxmlformats-officedocument.spreadsheetml.table+xml"/>
  <Override PartName="/xl/tables/table754.xml" ContentType="application/vnd.openxmlformats-officedocument.spreadsheetml.table+xml"/>
  <Override PartName="/xl/tables/table755.xml" ContentType="application/vnd.openxmlformats-officedocument.spreadsheetml.table+xml"/>
  <Override PartName="/xl/tables/table756.xml" ContentType="application/vnd.openxmlformats-officedocument.spreadsheetml.table+xml"/>
  <Override PartName="/xl/tables/table757.xml" ContentType="application/vnd.openxmlformats-officedocument.spreadsheetml.table+xml"/>
  <Override PartName="/xl/tables/table758.xml" ContentType="application/vnd.openxmlformats-officedocument.spreadsheetml.table+xml"/>
  <Override PartName="/xl/tables/table759.xml" ContentType="application/vnd.openxmlformats-officedocument.spreadsheetml.table+xml"/>
  <Override PartName="/xl/tables/table760.xml" ContentType="application/vnd.openxmlformats-officedocument.spreadsheetml.table+xml"/>
  <Override PartName="/xl/tables/table761.xml" ContentType="application/vnd.openxmlformats-officedocument.spreadsheetml.table+xml"/>
  <Override PartName="/xl/tables/table762.xml" ContentType="application/vnd.openxmlformats-officedocument.spreadsheetml.table+xml"/>
  <Override PartName="/xl/tables/table763.xml" ContentType="application/vnd.openxmlformats-officedocument.spreadsheetml.table+xml"/>
  <Override PartName="/xl/tables/table764.xml" ContentType="application/vnd.openxmlformats-officedocument.spreadsheetml.table+xml"/>
  <Override PartName="/xl/tables/table765.xml" ContentType="application/vnd.openxmlformats-officedocument.spreadsheetml.table+xml"/>
  <Override PartName="/xl/tables/table766.xml" ContentType="application/vnd.openxmlformats-officedocument.spreadsheetml.table+xml"/>
  <Override PartName="/xl/tables/table767.xml" ContentType="application/vnd.openxmlformats-officedocument.spreadsheetml.table+xml"/>
  <Override PartName="/xl/tables/table768.xml" ContentType="application/vnd.openxmlformats-officedocument.spreadsheetml.table+xml"/>
  <Override PartName="/xl/tables/table769.xml" ContentType="application/vnd.openxmlformats-officedocument.spreadsheetml.table+xml"/>
  <Override PartName="/xl/tables/table770.xml" ContentType="application/vnd.openxmlformats-officedocument.spreadsheetml.table+xml"/>
  <Override PartName="/xl/tables/table771.xml" ContentType="application/vnd.openxmlformats-officedocument.spreadsheetml.table+xml"/>
  <Override PartName="/xl/tables/table772.xml" ContentType="application/vnd.openxmlformats-officedocument.spreadsheetml.table+xml"/>
  <Override PartName="/xl/tables/table773.xml" ContentType="application/vnd.openxmlformats-officedocument.spreadsheetml.table+xml"/>
  <Override PartName="/xl/tables/table774.xml" ContentType="application/vnd.openxmlformats-officedocument.spreadsheetml.table+xml"/>
  <Override PartName="/xl/tables/table775.xml" ContentType="application/vnd.openxmlformats-officedocument.spreadsheetml.table+xml"/>
  <Override PartName="/xl/tables/table776.xml" ContentType="application/vnd.openxmlformats-officedocument.spreadsheetml.table+xml"/>
  <Override PartName="/xl/tables/table777.xml" ContentType="application/vnd.openxmlformats-officedocument.spreadsheetml.table+xml"/>
  <Override PartName="/xl/tables/table778.xml" ContentType="application/vnd.openxmlformats-officedocument.spreadsheetml.table+xml"/>
  <Override PartName="/xl/tables/table779.xml" ContentType="application/vnd.openxmlformats-officedocument.spreadsheetml.table+xml"/>
  <Override PartName="/xl/tables/table780.xml" ContentType="application/vnd.openxmlformats-officedocument.spreadsheetml.table+xml"/>
  <Override PartName="/xl/tables/table781.xml" ContentType="application/vnd.openxmlformats-officedocument.spreadsheetml.table+xml"/>
  <Override PartName="/xl/tables/table782.xml" ContentType="application/vnd.openxmlformats-officedocument.spreadsheetml.table+xml"/>
  <Override PartName="/xl/tables/table783.xml" ContentType="application/vnd.openxmlformats-officedocument.spreadsheetml.table+xml"/>
  <Override PartName="/xl/tables/table784.xml" ContentType="application/vnd.openxmlformats-officedocument.spreadsheetml.table+xml"/>
  <Override PartName="/xl/tables/table785.xml" ContentType="application/vnd.openxmlformats-officedocument.spreadsheetml.table+xml"/>
  <Override PartName="/xl/tables/table786.xml" ContentType="application/vnd.openxmlformats-officedocument.spreadsheetml.table+xml"/>
  <Override PartName="/xl/tables/table787.xml" ContentType="application/vnd.openxmlformats-officedocument.spreadsheetml.table+xml"/>
  <Override PartName="/xl/tables/table788.xml" ContentType="application/vnd.openxmlformats-officedocument.spreadsheetml.table+xml"/>
  <Override PartName="/xl/tables/table789.xml" ContentType="application/vnd.openxmlformats-officedocument.spreadsheetml.table+xml"/>
  <Override PartName="/xl/tables/table790.xml" ContentType="application/vnd.openxmlformats-officedocument.spreadsheetml.table+xml"/>
  <Override PartName="/xl/tables/table791.xml" ContentType="application/vnd.openxmlformats-officedocument.spreadsheetml.table+xml"/>
  <Override PartName="/xl/tables/table792.xml" ContentType="application/vnd.openxmlformats-officedocument.spreadsheetml.table+xml"/>
  <Override PartName="/xl/tables/table793.xml" ContentType="application/vnd.openxmlformats-officedocument.spreadsheetml.table+xml"/>
  <Override PartName="/xl/tables/table794.xml" ContentType="application/vnd.openxmlformats-officedocument.spreadsheetml.table+xml"/>
  <Override PartName="/xl/tables/table795.xml" ContentType="application/vnd.openxmlformats-officedocument.spreadsheetml.table+xml"/>
  <Override PartName="/xl/tables/table796.xml" ContentType="application/vnd.openxmlformats-officedocument.spreadsheetml.table+xml"/>
  <Override PartName="/xl/tables/table797.xml" ContentType="application/vnd.openxmlformats-officedocument.spreadsheetml.table+xml"/>
  <Override PartName="/xl/tables/table798.xml" ContentType="application/vnd.openxmlformats-officedocument.spreadsheetml.table+xml"/>
  <Override PartName="/xl/tables/table799.xml" ContentType="application/vnd.openxmlformats-officedocument.spreadsheetml.table+xml"/>
  <Override PartName="/xl/tables/table800.xml" ContentType="application/vnd.openxmlformats-officedocument.spreadsheetml.table+xml"/>
  <Override PartName="/xl/tables/table80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0" yWindow="240" windowWidth="23256" windowHeight="11460"/>
  </bookViews>
  <sheets>
    <sheet name="Summary Sheet" sheetId="1" r:id="rId1"/>
    <sheet name="(Property 1)" sheetId="2" r:id="rId2"/>
    <sheet name="(Property 2)" sheetId="23" r:id="rId3"/>
    <sheet name="(Property 3)" sheetId="24" r:id="rId4"/>
    <sheet name="(Property 4)" sheetId="25" r:id="rId5"/>
    <sheet name="(Property 5)" sheetId="26" r:id="rId6"/>
    <sheet name="(Property 6)" sheetId="27" r:id="rId7"/>
    <sheet name="(Property 7)" sheetId="28" r:id="rId8"/>
    <sheet name="(Property 8)" sheetId="29" r:id="rId9"/>
    <sheet name="(Property 9)" sheetId="30" r:id="rId10"/>
    <sheet name="(Property 10)" sheetId="31" r:id="rId11"/>
    <sheet name="(Property 11)" sheetId="32" r:id="rId12"/>
    <sheet name="(Property 12)" sheetId="33" r:id="rId13"/>
    <sheet name="(Property 13)" sheetId="34" r:id="rId14"/>
    <sheet name="(Property 14)" sheetId="35" r:id="rId15"/>
    <sheet name="(Property 15)" sheetId="36" r:id="rId16"/>
    <sheet name="(Property 16)" sheetId="37" r:id="rId17"/>
    <sheet name="(Property 17)" sheetId="38" r:id="rId18"/>
    <sheet name="(Property 18)" sheetId="39" r:id="rId19"/>
    <sheet name="(Property 19)" sheetId="40" r:id="rId20"/>
    <sheet name="(Property 20)" sheetId="41" r:id="rId21"/>
    <sheet name="(Property 21)" sheetId="42" r:id="rId22"/>
    <sheet name="(Property 22)" sheetId="43" r:id="rId23"/>
    <sheet name="(Property 23)" sheetId="44" r:id="rId24"/>
    <sheet name="(Property 24)" sheetId="45" r:id="rId25"/>
    <sheet name="(Property 25)" sheetId="46" r:id="rId26"/>
    <sheet name="(Property 26)" sheetId="47" r:id="rId27"/>
    <sheet name="(Property 27)" sheetId="48" r:id="rId28"/>
    <sheet name="(Property 28)" sheetId="49" r:id="rId29"/>
    <sheet name="(Property 29)" sheetId="50" r:id="rId30"/>
    <sheet name="(Property 30)" sheetId="51" r:id="rId31"/>
    <sheet name="(Property 31)" sheetId="52" r:id="rId32"/>
    <sheet name="(Property 32)" sheetId="53" r:id="rId33"/>
    <sheet name="(Property 33)" sheetId="54" r:id="rId34"/>
    <sheet name="(Property 34)" sheetId="55" r:id="rId35"/>
    <sheet name="(Property 35)" sheetId="56" r:id="rId36"/>
    <sheet name="(Property 36)" sheetId="57" r:id="rId37"/>
    <sheet name="(Property 37)" sheetId="58" r:id="rId38"/>
    <sheet name="(Property 38)" sheetId="59" r:id="rId39"/>
    <sheet name="(Property 39)" sheetId="60" r:id="rId40"/>
    <sheet name="(Property 40)" sheetId="61" r:id="rId41"/>
    <sheet name="(Property 41)" sheetId="62" r:id="rId42"/>
    <sheet name="(Property 42)" sheetId="63" r:id="rId43"/>
    <sheet name="(Property 43)" sheetId="64" r:id="rId44"/>
    <sheet name="(Property 44)" sheetId="65" r:id="rId45"/>
    <sheet name="(Property 45)" sheetId="66" r:id="rId46"/>
    <sheet name="(Property 46)" sheetId="67" r:id="rId47"/>
    <sheet name="(Property 47)" sheetId="68" r:id="rId48"/>
    <sheet name="(Property 48)" sheetId="69" r:id="rId49"/>
    <sheet name="(Property 49)" sheetId="70" r:id="rId50"/>
    <sheet name="(Property 50)" sheetId="71" r:id="rId51"/>
    <sheet name="(Property 51)" sheetId="72" r:id="rId52"/>
    <sheet name="(Property 52)" sheetId="73" r:id="rId53"/>
    <sheet name="(Property 53)" sheetId="74" r:id="rId54"/>
    <sheet name="(Property 54)" sheetId="75" r:id="rId55"/>
    <sheet name="(Property 55)" sheetId="76" r:id="rId56"/>
    <sheet name="(Property 56)" sheetId="77" r:id="rId57"/>
    <sheet name="(Property 57)" sheetId="78" r:id="rId58"/>
    <sheet name="(Property 58)" sheetId="80" r:id="rId59"/>
    <sheet name="(Property 59)" sheetId="79" r:id="rId60"/>
    <sheet name="(Property 60)" sheetId="81" r:id="rId61"/>
    <sheet name="(Property 61)" sheetId="82" r:id="rId62"/>
    <sheet name="(Property 62)" sheetId="83" r:id="rId63"/>
    <sheet name="(Property 63)" sheetId="84" r:id="rId64"/>
    <sheet name="(Property 64)" sheetId="85" r:id="rId65"/>
    <sheet name="(Property 65)" sheetId="86" r:id="rId66"/>
    <sheet name="(Property 66)" sheetId="87" r:id="rId67"/>
    <sheet name="(Property 67)" sheetId="88" r:id="rId68"/>
    <sheet name="(Property 68)" sheetId="89" r:id="rId69"/>
    <sheet name="(Property 69)" sheetId="90" r:id="rId70"/>
    <sheet name="(Property 70)" sheetId="91" r:id="rId71"/>
    <sheet name="(Property 71)" sheetId="92" r:id="rId72"/>
    <sheet name="(Property 72)" sheetId="93" r:id="rId73"/>
    <sheet name="(Property 73)" sheetId="94" r:id="rId74"/>
    <sheet name="(Property 74)" sheetId="95" r:id="rId75"/>
    <sheet name="(Property 75)" sheetId="96" r:id="rId76"/>
    <sheet name="(Property 76)" sheetId="97" r:id="rId77"/>
    <sheet name="(Property 77)" sheetId="98" r:id="rId78"/>
    <sheet name="(Property 78)" sheetId="99" r:id="rId79"/>
    <sheet name="(Property 79)" sheetId="100" r:id="rId80"/>
    <sheet name="(Property 80)" sheetId="101" r:id="rId81"/>
    <sheet name="(Property 81)" sheetId="102" r:id="rId82"/>
    <sheet name="(Property 82)" sheetId="103" r:id="rId83"/>
    <sheet name="(Property 83)" sheetId="104" r:id="rId84"/>
    <sheet name="(Property 84)" sheetId="105" r:id="rId85"/>
    <sheet name="(Property 85)" sheetId="106" r:id="rId86"/>
    <sheet name="(Property 86)" sheetId="107" r:id="rId87"/>
    <sheet name="(Property 87)" sheetId="108" r:id="rId88"/>
    <sheet name="(Property 88)" sheetId="110" r:id="rId89"/>
    <sheet name="(Property 89)" sheetId="109" r:id="rId90"/>
    <sheet name="(Property 90)" sheetId="111" r:id="rId91"/>
    <sheet name="(Property 91)" sheetId="112" r:id="rId92"/>
    <sheet name="(Property 92)" sheetId="113" r:id="rId93"/>
    <sheet name="(Property 93)" sheetId="114" r:id="rId94"/>
    <sheet name="(Property 94)" sheetId="115" r:id="rId95"/>
    <sheet name="(Property 95)" sheetId="116" r:id="rId96"/>
    <sheet name="(Property 96)" sheetId="117" r:id="rId97"/>
    <sheet name="(Property 97)" sheetId="118" r:id="rId98"/>
    <sheet name="(Property 98)" sheetId="120" r:id="rId99"/>
    <sheet name="(Property 99)" sheetId="121" r:id="rId100"/>
    <sheet name="(Property 100)" sheetId="119" r:id="rId101"/>
  </sheets>
  <definedNames>
    <definedName name="_xlnm.Print_Area" localSheetId="1">'(Property 1)'!$A:$D</definedName>
    <definedName name="_xlnm.Print_Area" localSheetId="10">'(Property 10)'!$A:$D</definedName>
    <definedName name="_xlnm.Print_Area" localSheetId="100">'(Property 100)'!$A:$D</definedName>
    <definedName name="_xlnm.Print_Area" localSheetId="11">'(Property 11)'!$A:$D</definedName>
    <definedName name="_xlnm.Print_Area" localSheetId="12">'(Property 12)'!$A:$D</definedName>
    <definedName name="_xlnm.Print_Area" localSheetId="13">'(Property 13)'!$A:$D</definedName>
    <definedName name="_xlnm.Print_Area" localSheetId="14">'(Property 14)'!$A:$D</definedName>
    <definedName name="_xlnm.Print_Area" localSheetId="15">'(Property 15)'!$A:$D</definedName>
    <definedName name="_xlnm.Print_Area" localSheetId="16">'(Property 16)'!$A:$D</definedName>
    <definedName name="_xlnm.Print_Area" localSheetId="17">'(Property 17)'!$A:$D</definedName>
    <definedName name="_xlnm.Print_Area" localSheetId="18">'(Property 18)'!$A:$D</definedName>
    <definedName name="_xlnm.Print_Area" localSheetId="19">'(Property 19)'!$A:$D</definedName>
    <definedName name="_xlnm.Print_Area" localSheetId="2">'(Property 2)'!$A:$D</definedName>
    <definedName name="_xlnm.Print_Area" localSheetId="20">'(Property 20)'!$A:$D</definedName>
    <definedName name="_xlnm.Print_Area" localSheetId="21">'(Property 21)'!$A:$D</definedName>
    <definedName name="_xlnm.Print_Area" localSheetId="22">'(Property 22)'!$A:$D</definedName>
    <definedName name="_xlnm.Print_Area" localSheetId="23">'(Property 23)'!$A:$D</definedName>
    <definedName name="_xlnm.Print_Area" localSheetId="24">'(Property 24)'!$A:$D</definedName>
    <definedName name="_xlnm.Print_Area" localSheetId="25">'(Property 25)'!$A:$D</definedName>
    <definedName name="_xlnm.Print_Area" localSheetId="26">'(Property 26)'!$A:$D</definedName>
    <definedName name="_xlnm.Print_Area" localSheetId="27">'(Property 27)'!$A:$D</definedName>
    <definedName name="_xlnm.Print_Area" localSheetId="28">'(Property 28)'!$A:$D</definedName>
    <definedName name="_xlnm.Print_Area" localSheetId="29">'(Property 29)'!$A:$D</definedName>
    <definedName name="_xlnm.Print_Area" localSheetId="3">'(Property 3)'!$A:$D</definedName>
    <definedName name="_xlnm.Print_Area" localSheetId="30">'(Property 30)'!$A:$D</definedName>
    <definedName name="_xlnm.Print_Area" localSheetId="31">'(Property 31)'!$A:$D</definedName>
    <definedName name="_xlnm.Print_Area" localSheetId="32">'(Property 32)'!$A:$D</definedName>
    <definedName name="_xlnm.Print_Area" localSheetId="33">'(Property 33)'!$A:$D</definedName>
    <definedName name="_xlnm.Print_Area" localSheetId="34">'(Property 34)'!$A:$D</definedName>
    <definedName name="_xlnm.Print_Area" localSheetId="35">'(Property 35)'!$A:$D</definedName>
    <definedName name="_xlnm.Print_Area" localSheetId="36">'(Property 36)'!$A:$D</definedName>
    <definedName name="_xlnm.Print_Area" localSheetId="37">'(Property 37)'!$A:$D</definedName>
    <definedName name="_xlnm.Print_Area" localSheetId="38">'(Property 38)'!$A:$D</definedName>
    <definedName name="_xlnm.Print_Area" localSheetId="39">'(Property 39)'!$A:$D</definedName>
    <definedName name="_xlnm.Print_Area" localSheetId="4">'(Property 4)'!$A:$D</definedName>
    <definedName name="_xlnm.Print_Area" localSheetId="40">'(Property 40)'!$A:$D</definedName>
    <definedName name="_xlnm.Print_Area" localSheetId="41">'(Property 41)'!$A:$D</definedName>
    <definedName name="_xlnm.Print_Area" localSheetId="42">'(Property 42)'!$A:$D</definedName>
    <definedName name="_xlnm.Print_Area" localSheetId="43">'(Property 43)'!$A:$D</definedName>
    <definedName name="_xlnm.Print_Area" localSheetId="44">'(Property 44)'!$A:$D</definedName>
    <definedName name="_xlnm.Print_Area" localSheetId="45">'(Property 45)'!$A:$D</definedName>
    <definedName name="_xlnm.Print_Area" localSheetId="46">'(Property 46)'!$A:$D</definedName>
    <definedName name="_xlnm.Print_Area" localSheetId="47">'(Property 47)'!$A:$D</definedName>
    <definedName name="_xlnm.Print_Area" localSheetId="48">'(Property 48)'!$A:$D</definedName>
    <definedName name="_xlnm.Print_Area" localSheetId="49">'(Property 49)'!$A:$D</definedName>
    <definedName name="_xlnm.Print_Area" localSheetId="5">'(Property 5)'!$A:$D</definedName>
    <definedName name="_xlnm.Print_Area" localSheetId="50">'(Property 50)'!$A:$D</definedName>
    <definedName name="_xlnm.Print_Area" localSheetId="51">'(Property 51)'!$A:$D</definedName>
    <definedName name="_xlnm.Print_Area" localSheetId="52">'(Property 52)'!$A:$D</definedName>
    <definedName name="_xlnm.Print_Area" localSheetId="53">'(Property 53)'!$A:$D</definedName>
    <definedName name="_xlnm.Print_Area" localSheetId="54">'(Property 54)'!$A:$D</definedName>
    <definedName name="_xlnm.Print_Area" localSheetId="55">'(Property 55)'!$A:$D</definedName>
    <definedName name="_xlnm.Print_Area" localSheetId="56">'(Property 56)'!$A:$D</definedName>
    <definedName name="_xlnm.Print_Area" localSheetId="57">'(Property 57)'!$A:$D</definedName>
    <definedName name="_xlnm.Print_Area" localSheetId="58">'(Property 58)'!$A:$D</definedName>
    <definedName name="_xlnm.Print_Area" localSheetId="59">'(Property 59)'!$A:$D</definedName>
    <definedName name="_xlnm.Print_Area" localSheetId="6">'(Property 6)'!$A:$D</definedName>
    <definedName name="_xlnm.Print_Area" localSheetId="60">'(Property 60)'!$A:$D</definedName>
    <definedName name="_xlnm.Print_Area" localSheetId="61">'(Property 61)'!$A:$D</definedName>
    <definedName name="_xlnm.Print_Area" localSheetId="62">'(Property 62)'!$A:$D</definedName>
    <definedName name="_xlnm.Print_Area" localSheetId="63">'(Property 63)'!$A:$D</definedName>
    <definedName name="_xlnm.Print_Area" localSheetId="64">'(Property 64)'!$A:$D</definedName>
    <definedName name="_xlnm.Print_Area" localSheetId="65">'(Property 65)'!$A:$D</definedName>
    <definedName name="_xlnm.Print_Area" localSheetId="66">'(Property 66)'!$A:$D</definedName>
    <definedName name="_xlnm.Print_Area" localSheetId="67">'(Property 67)'!$A:$D</definedName>
    <definedName name="_xlnm.Print_Area" localSheetId="68">'(Property 68)'!$A:$D</definedName>
    <definedName name="_xlnm.Print_Area" localSheetId="69">'(Property 69)'!$A:$D</definedName>
    <definedName name="_xlnm.Print_Area" localSheetId="7">'(Property 7)'!$A:$D</definedName>
    <definedName name="_xlnm.Print_Area" localSheetId="70">'(Property 70)'!$A:$D</definedName>
    <definedName name="_xlnm.Print_Area" localSheetId="71">'(Property 71)'!$A:$D</definedName>
    <definedName name="_xlnm.Print_Area" localSheetId="72">'(Property 72)'!$A:$D</definedName>
    <definedName name="_xlnm.Print_Area" localSheetId="73">'(Property 73)'!$A:$D</definedName>
    <definedName name="_xlnm.Print_Area" localSheetId="74">'(Property 74)'!$A:$D</definedName>
    <definedName name="_xlnm.Print_Area" localSheetId="75">'(Property 75)'!$A:$D</definedName>
    <definedName name="_xlnm.Print_Area" localSheetId="76">'(Property 76)'!$A:$D</definedName>
    <definedName name="_xlnm.Print_Area" localSheetId="77">'(Property 77)'!$A:$D</definedName>
    <definedName name="_xlnm.Print_Area" localSheetId="78">'(Property 78)'!$A:$D</definedName>
    <definedName name="_xlnm.Print_Area" localSheetId="79">'(Property 79)'!$A:$D</definedName>
    <definedName name="_xlnm.Print_Area" localSheetId="8">'(Property 8)'!$A:$D</definedName>
    <definedName name="_xlnm.Print_Area" localSheetId="80">'(Property 80)'!$A:$D</definedName>
    <definedName name="_xlnm.Print_Area" localSheetId="81">'(Property 81)'!$A:$D</definedName>
    <definedName name="_xlnm.Print_Area" localSheetId="82">'(Property 82)'!$A:$D</definedName>
    <definedName name="_xlnm.Print_Area" localSheetId="83">'(Property 83)'!$A:$D</definedName>
    <definedName name="_xlnm.Print_Area" localSheetId="84">'(Property 84)'!$A:$D</definedName>
    <definedName name="_xlnm.Print_Area" localSheetId="85">'(Property 85)'!$A:$D</definedName>
    <definedName name="_xlnm.Print_Area" localSheetId="86">'(Property 86)'!$A:$D</definedName>
    <definedName name="_xlnm.Print_Area" localSheetId="87">'(Property 87)'!$A:$D</definedName>
    <definedName name="_xlnm.Print_Area" localSheetId="88">'(Property 88)'!$A:$D</definedName>
    <definedName name="_xlnm.Print_Area" localSheetId="89">'(Property 89)'!$A:$D</definedName>
    <definedName name="_xlnm.Print_Area" localSheetId="9">'(Property 9)'!$A:$D</definedName>
    <definedName name="_xlnm.Print_Area" localSheetId="90">'(Property 90)'!$A:$D</definedName>
    <definedName name="_xlnm.Print_Area" localSheetId="91">'(Property 91)'!$A:$D</definedName>
    <definedName name="_xlnm.Print_Area" localSheetId="92">'(Property 92)'!$A:$D</definedName>
    <definedName name="_xlnm.Print_Area" localSheetId="93">'(Property 93)'!$A:$D</definedName>
    <definedName name="_xlnm.Print_Area" localSheetId="94">'(Property 94)'!$A:$D</definedName>
    <definedName name="_xlnm.Print_Area" localSheetId="95">'(Property 95)'!$A:$D</definedName>
    <definedName name="_xlnm.Print_Area" localSheetId="96">'(Property 96)'!$A:$D</definedName>
    <definedName name="_xlnm.Print_Area" localSheetId="97">'(Property 97)'!$A:$D</definedName>
    <definedName name="_xlnm.Print_Area" localSheetId="98">'(Property 98)'!$A:$D</definedName>
    <definedName name="_xlnm.Print_Area" localSheetId="99">'(Property 99)'!$A:$D</definedName>
    <definedName name="_xlnm.Print_Area" localSheetId="0">'Summary Sheet'!$A$1:$N$132</definedName>
  </definedNames>
  <calcPr calcId="145621"/>
</workbook>
</file>

<file path=xl/calcChain.xml><?xml version="1.0" encoding="utf-8"?>
<calcChain xmlns="http://schemas.openxmlformats.org/spreadsheetml/2006/main">
  <c r="M132" i="1" l="1"/>
  <c r="M131" i="1"/>
  <c r="M130" i="1"/>
  <c r="M129" i="1"/>
  <c r="M128" i="1"/>
  <c r="M127" i="1"/>
  <c r="M126" i="1"/>
  <c r="M125" i="1"/>
  <c r="M124" i="1"/>
  <c r="M123" i="1"/>
  <c r="L132" i="1"/>
  <c r="L131" i="1"/>
  <c r="L130" i="1"/>
  <c r="L129" i="1"/>
  <c r="L128" i="1"/>
  <c r="L127" i="1"/>
  <c r="L126" i="1"/>
  <c r="L125" i="1"/>
  <c r="L124" i="1"/>
  <c r="N124" i="1" s="1"/>
  <c r="L123" i="1"/>
  <c r="K132" i="1"/>
  <c r="K131" i="1"/>
  <c r="K130" i="1"/>
  <c r="K129" i="1"/>
  <c r="K128" i="1"/>
  <c r="K127" i="1"/>
  <c r="K126" i="1"/>
  <c r="K125" i="1"/>
  <c r="K124" i="1"/>
  <c r="K123" i="1"/>
  <c r="J132" i="1"/>
  <c r="J131" i="1"/>
  <c r="J130" i="1"/>
  <c r="J129" i="1"/>
  <c r="J128" i="1"/>
  <c r="J127" i="1"/>
  <c r="J126" i="1"/>
  <c r="J125" i="1"/>
  <c r="J124" i="1"/>
  <c r="J123" i="1"/>
  <c r="I132" i="1"/>
  <c r="I131" i="1"/>
  <c r="I130" i="1"/>
  <c r="I129" i="1"/>
  <c r="I128" i="1"/>
  <c r="I127" i="1"/>
  <c r="I126" i="1"/>
  <c r="I125" i="1"/>
  <c r="I124" i="1"/>
  <c r="I123" i="1"/>
  <c r="H132" i="1"/>
  <c r="H131" i="1"/>
  <c r="H130" i="1"/>
  <c r="H129" i="1"/>
  <c r="H128" i="1"/>
  <c r="H127" i="1"/>
  <c r="H126" i="1"/>
  <c r="H125" i="1"/>
  <c r="H124" i="1"/>
  <c r="H123" i="1"/>
  <c r="G132" i="1"/>
  <c r="G131" i="1"/>
  <c r="G130" i="1"/>
  <c r="G129" i="1"/>
  <c r="G128" i="1"/>
  <c r="G127" i="1"/>
  <c r="G126" i="1"/>
  <c r="G125" i="1"/>
  <c r="G124" i="1"/>
  <c r="G123" i="1"/>
  <c r="F132" i="1"/>
  <c r="F131" i="1"/>
  <c r="F130" i="1"/>
  <c r="F129" i="1"/>
  <c r="F128" i="1"/>
  <c r="F127" i="1"/>
  <c r="F126" i="1"/>
  <c r="F125" i="1"/>
  <c r="F124" i="1"/>
  <c r="F123" i="1"/>
  <c r="B5" i="119"/>
  <c r="B4" i="119"/>
  <c r="B5" i="121"/>
  <c r="B4" i="121"/>
  <c r="B5" i="120"/>
  <c r="B4" i="120"/>
  <c r="B5" i="118"/>
  <c r="B4" i="118"/>
  <c r="B5" i="117"/>
  <c r="B4" i="117"/>
  <c r="B5" i="116"/>
  <c r="B4" i="116"/>
  <c r="B5" i="115"/>
  <c r="B4" i="115"/>
  <c r="B5" i="114"/>
  <c r="B4" i="114"/>
  <c r="B5" i="113"/>
  <c r="B4" i="113"/>
  <c r="B4" i="112"/>
  <c r="B5" i="112"/>
  <c r="D160" i="121"/>
  <c r="D141" i="121"/>
  <c r="D9" i="121" s="1"/>
  <c r="D122" i="121"/>
  <c r="D103" i="121"/>
  <c r="D84" i="121"/>
  <c r="D65" i="121"/>
  <c r="D46" i="121"/>
  <c r="D27" i="121"/>
  <c r="D160" i="120"/>
  <c r="D141" i="120"/>
  <c r="D9" i="120" s="1"/>
  <c r="D122" i="120"/>
  <c r="D103" i="120"/>
  <c r="D84" i="120"/>
  <c r="D65" i="120"/>
  <c r="D46" i="120"/>
  <c r="D27" i="120"/>
  <c r="D160" i="119"/>
  <c r="D141" i="119"/>
  <c r="D9" i="119" s="1"/>
  <c r="D122" i="119"/>
  <c r="D103" i="119"/>
  <c r="D84" i="119"/>
  <c r="D65" i="119"/>
  <c r="D46" i="119"/>
  <c r="D27" i="119"/>
  <c r="D160" i="118"/>
  <c r="D141" i="118"/>
  <c r="D9" i="118" s="1"/>
  <c r="D122" i="118"/>
  <c r="D103" i="118"/>
  <c r="D84" i="118"/>
  <c r="D65" i="118"/>
  <c r="D46" i="118"/>
  <c r="D27" i="118"/>
  <c r="D160" i="117"/>
  <c r="D141" i="117"/>
  <c r="D9" i="117" s="1"/>
  <c r="D122" i="117"/>
  <c r="D103" i="117"/>
  <c r="D84" i="117"/>
  <c r="D65" i="117"/>
  <c r="D46" i="117"/>
  <c r="D27" i="117"/>
  <c r="D160" i="116"/>
  <c r="D141" i="116"/>
  <c r="D122" i="116"/>
  <c r="D103" i="116"/>
  <c r="D84" i="116"/>
  <c r="D65" i="116"/>
  <c r="D46" i="116"/>
  <c r="D27" i="116"/>
  <c r="D9" i="116"/>
  <c r="D160" i="115"/>
  <c r="D141" i="115"/>
  <c r="D122" i="115"/>
  <c r="D103" i="115"/>
  <c r="D84" i="115"/>
  <c r="D65" i="115"/>
  <c r="D46" i="115"/>
  <c r="D27" i="115"/>
  <c r="D9" i="115"/>
  <c r="D160" i="114"/>
  <c r="D141" i="114"/>
  <c r="D9" i="114" s="1"/>
  <c r="D122" i="114"/>
  <c r="D103" i="114"/>
  <c r="D84" i="114"/>
  <c r="D65" i="114"/>
  <c r="D46" i="114"/>
  <c r="D27" i="114"/>
  <c r="D160" i="113"/>
  <c r="D141" i="113"/>
  <c r="D9" i="113" s="1"/>
  <c r="D122" i="113"/>
  <c r="D103" i="113"/>
  <c r="D84" i="113"/>
  <c r="D65" i="113"/>
  <c r="D46" i="113"/>
  <c r="D27" i="113"/>
  <c r="D160" i="112"/>
  <c r="D141" i="112"/>
  <c r="D9" i="112" s="1"/>
  <c r="D122" i="112"/>
  <c r="D103" i="112"/>
  <c r="D84" i="112"/>
  <c r="D65" i="112"/>
  <c r="D46" i="112"/>
  <c r="D27" i="112"/>
  <c r="M122" i="1"/>
  <c r="M121" i="1"/>
  <c r="M120" i="1"/>
  <c r="M119" i="1"/>
  <c r="M118" i="1"/>
  <c r="M117" i="1"/>
  <c r="M116" i="1"/>
  <c r="M115" i="1"/>
  <c r="M114" i="1"/>
  <c r="M113" i="1"/>
  <c r="L122" i="1"/>
  <c r="L121" i="1"/>
  <c r="L120" i="1"/>
  <c r="N120" i="1" s="1"/>
  <c r="L119" i="1"/>
  <c r="L118" i="1"/>
  <c r="L117" i="1"/>
  <c r="L116" i="1"/>
  <c r="N116" i="1" s="1"/>
  <c r="L115" i="1"/>
  <c r="L114" i="1"/>
  <c r="L113" i="1"/>
  <c r="K122" i="1"/>
  <c r="K121" i="1"/>
  <c r="K120" i="1"/>
  <c r="K119" i="1"/>
  <c r="K118" i="1"/>
  <c r="K117" i="1"/>
  <c r="K116" i="1"/>
  <c r="K115" i="1"/>
  <c r="K114" i="1"/>
  <c r="K113" i="1"/>
  <c r="J122" i="1"/>
  <c r="J121" i="1"/>
  <c r="J120" i="1"/>
  <c r="J119" i="1"/>
  <c r="J118" i="1"/>
  <c r="J117" i="1"/>
  <c r="J116" i="1"/>
  <c r="J115" i="1"/>
  <c r="J114" i="1"/>
  <c r="J113" i="1"/>
  <c r="I122" i="1"/>
  <c r="I121" i="1"/>
  <c r="I120" i="1"/>
  <c r="I119" i="1"/>
  <c r="I118" i="1"/>
  <c r="I117" i="1"/>
  <c r="I116" i="1"/>
  <c r="I115" i="1"/>
  <c r="I114" i="1"/>
  <c r="I113" i="1"/>
  <c r="H122" i="1"/>
  <c r="H121" i="1"/>
  <c r="H120" i="1"/>
  <c r="H119" i="1"/>
  <c r="H118" i="1"/>
  <c r="H117" i="1"/>
  <c r="H116" i="1"/>
  <c r="H115" i="1"/>
  <c r="H114" i="1"/>
  <c r="H113" i="1"/>
  <c r="G122" i="1"/>
  <c r="G121" i="1"/>
  <c r="G120" i="1"/>
  <c r="G119" i="1"/>
  <c r="G118" i="1"/>
  <c r="G117" i="1"/>
  <c r="G116" i="1"/>
  <c r="G115" i="1"/>
  <c r="G114" i="1"/>
  <c r="G113" i="1"/>
  <c r="F122" i="1"/>
  <c r="F121" i="1"/>
  <c r="F120" i="1"/>
  <c r="F119" i="1"/>
  <c r="F118" i="1"/>
  <c r="F117" i="1"/>
  <c r="F116" i="1"/>
  <c r="F115" i="1"/>
  <c r="F114" i="1"/>
  <c r="F113" i="1"/>
  <c r="B5" i="111"/>
  <c r="B4" i="111"/>
  <c r="B5" i="109"/>
  <c r="B4" i="109"/>
  <c r="B5" i="110"/>
  <c r="B4" i="110"/>
  <c r="B5" i="108"/>
  <c r="B4" i="108"/>
  <c r="B5" i="107"/>
  <c r="B4" i="107"/>
  <c r="B5" i="106"/>
  <c r="B4" i="106"/>
  <c r="B5" i="105"/>
  <c r="B4" i="105"/>
  <c r="B5" i="104"/>
  <c r="B4" i="104"/>
  <c r="B5" i="103"/>
  <c r="B4" i="103"/>
  <c r="B4" i="102"/>
  <c r="B5" i="102"/>
  <c r="D160" i="111"/>
  <c r="D141" i="111"/>
  <c r="D122" i="111"/>
  <c r="D103" i="111"/>
  <c r="D84" i="111"/>
  <c r="D65" i="111"/>
  <c r="D46" i="111"/>
  <c r="D27" i="111"/>
  <c r="D9" i="111"/>
  <c r="D160" i="110"/>
  <c r="D141" i="110"/>
  <c r="D9" i="110" s="1"/>
  <c r="D122" i="110"/>
  <c r="D103" i="110"/>
  <c r="D84" i="110"/>
  <c r="D65" i="110"/>
  <c r="D46" i="110"/>
  <c r="D27" i="110"/>
  <c r="D160" i="109"/>
  <c r="D141" i="109"/>
  <c r="D9" i="109" s="1"/>
  <c r="D122" i="109"/>
  <c r="D103" i="109"/>
  <c r="D84" i="109"/>
  <c r="D65" i="109"/>
  <c r="D46" i="109"/>
  <c r="D27" i="109"/>
  <c r="D160" i="108"/>
  <c r="D141" i="108"/>
  <c r="D9" i="108" s="1"/>
  <c r="D122" i="108"/>
  <c r="D103" i="108"/>
  <c r="D84" i="108"/>
  <c r="D65" i="108"/>
  <c r="D46" i="108"/>
  <c r="D27" i="108"/>
  <c r="D160" i="107"/>
  <c r="D141" i="107"/>
  <c r="D122" i="107"/>
  <c r="D103" i="107"/>
  <c r="D84" i="107"/>
  <c r="D65" i="107"/>
  <c r="D46" i="107"/>
  <c r="D27" i="107"/>
  <c r="D9" i="107"/>
  <c r="D160" i="106"/>
  <c r="D141" i="106"/>
  <c r="D9" i="106" s="1"/>
  <c r="D122" i="106"/>
  <c r="D103" i="106"/>
  <c r="D84" i="106"/>
  <c r="D65" i="106"/>
  <c r="D46" i="106"/>
  <c r="D27" i="106"/>
  <c r="D160" i="105"/>
  <c r="D141" i="105"/>
  <c r="D9" i="105" s="1"/>
  <c r="D122" i="105"/>
  <c r="D103" i="105"/>
  <c r="D84" i="105"/>
  <c r="D65" i="105"/>
  <c r="D46" i="105"/>
  <c r="D27" i="105"/>
  <c r="D160" i="104"/>
  <c r="D141" i="104"/>
  <c r="D9" i="104" s="1"/>
  <c r="D122" i="104"/>
  <c r="D103" i="104"/>
  <c r="D84" i="104"/>
  <c r="D65" i="104"/>
  <c r="D46" i="104"/>
  <c r="D27" i="104"/>
  <c r="D160" i="103"/>
  <c r="D141" i="103"/>
  <c r="D122" i="103"/>
  <c r="D103" i="103"/>
  <c r="D84" i="103"/>
  <c r="D65" i="103"/>
  <c r="D46" i="103"/>
  <c r="D27" i="103"/>
  <c r="D9" i="103"/>
  <c r="D160" i="102"/>
  <c r="D141" i="102"/>
  <c r="D9" i="102" s="1"/>
  <c r="D122" i="102"/>
  <c r="D103" i="102"/>
  <c r="D84" i="102"/>
  <c r="D65" i="102"/>
  <c r="D46" i="102"/>
  <c r="D27" i="102"/>
  <c r="M112" i="1"/>
  <c r="M111" i="1"/>
  <c r="M110" i="1"/>
  <c r="M109" i="1"/>
  <c r="M108" i="1"/>
  <c r="M107" i="1"/>
  <c r="M106" i="1"/>
  <c r="M105" i="1"/>
  <c r="M104" i="1"/>
  <c r="M103" i="1"/>
  <c r="L112" i="1"/>
  <c r="N112" i="1" s="1"/>
  <c r="L111" i="1"/>
  <c r="L110" i="1"/>
  <c r="L109" i="1"/>
  <c r="L108" i="1"/>
  <c r="N108" i="1" s="1"/>
  <c r="L107" i="1"/>
  <c r="L106" i="1"/>
  <c r="L105" i="1"/>
  <c r="L104" i="1"/>
  <c r="N104" i="1" s="1"/>
  <c r="L103" i="1"/>
  <c r="K112" i="1"/>
  <c r="K111" i="1"/>
  <c r="K110" i="1"/>
  <c r="K109" i="1"/>
  <c r="K108" i="1"/>
  <c r="K107" i="1"/>
  <c r="K106" i="1"/>
  <c r="K105" i="1"/>
  <c r="K104" i="1"/>
  <c r="K103" i="1"/>
  <c r="J112" i="1"/>
  <c r="J111" i="1"/>
  <c r="J110" i="1"/>
  <c r="J109" i="1"/>
  <c r="J108" i="1"/>
  <c r="J107" i="1"/>
  <c r="J106" i="1"/>
  <c r="J105" i="1"/>
  <c r="J104" i="1"/>
  <c r="J103" i="1"/>
  <c r="I112" i="1"/>
  <c r="I111" i="1"/>
  <c r="I110" i="1"/>
  <c r="I109" i="1"/>
  <c r="I108" i="1"/>
  <c r="I107" i="1"/>
  <c r="I106" i="1"/>
  <c r="I105" i="1"/>
  <c r="I104" i="1"/>
  <c r="I103" i="1"/>
  <c r="H112" i="1"/>
  <c r="H111" i="1"/>
  <c r="H110" i="1"/>
  <c r="H109" i="1"/>
  <c r="H108" i="1"/>
  <c r="H107" i="1"/>
  <c r="H106" i="1"/>
  <c r="H105" i="1"/>
  <c r="H104" i="1"/>
  <c r="H103" i="1"/>
  <c r="G112" i="1"/>
  <c r="G111" i="1"/>
  <c r="G110" i="1"/>
  <c r="G109" i="1"/>
  <c r="G108" i="1"/>
  <c r="G107" i="1"/>
  <c r="G106" i="1"/>
  <c r="G105" i="1"/>
  <c r="G104" i="1"/>
  <c r="G103" i="1"/>
  <c r="F112" i="1"/>
  <c r="F111" i="1"/>
  <c r="F110" i="1"/>
  <c r="F109" i="1"/>
  <c r="F108" i="1"/>
  <c r="F107" i="1"/>
  <c r="F106" i="1"/>
  <c r="F105" i="1"/>
  <c r="F104" i="1"/>
  <c r="F103" i="1"/>
  <c r="B5" i="101"/>
  <c r="B4" i="101"/>
  <c r="B5" i="100"/>
  <c r="B4" i="100"/>
  <c r="B5" i="99"/>
  <c r="B4" i="99"/>
  <c r="B5" i="98"/>
  <c r="B4" i="98"/>
  <c r="B5" i="97"/>
  <c r="B4" i="97"/>
  <c r="B5" i="96"/>
  <c r="B4" i="96"/>
  <c r="B4" i="95"/>
  <c r="B5" i="95"/>
  <c r="B5" i="94"/>
  <c r="B4" i="94"/>
  <c r="B5" i="93"/>
  <c r="B4" i="93"/>
  <c r="B5" i="92"/>
  <c r="B4" i="92"/>
  <c r="D160" i="101"/>
  <c r="D141" i="101"/>
  <c r="D9" i="101" s="1"/>
  <c r="D122" i="101"/>
  <c r="D103" i="101"/>
  <c r="D84" i="101"/>
  <c r="D65" i="101"/>
  <c r="D46" i="101"/>
  <c r="D27" i="101"/>
  <c r="D160" i="100"/>
  <c r="D141" i="100"/>
  <c r="D9" i="100" s="1"/>
  <c r="D122" i="100"/>
  <c r="D103" i="100"/>
  <c r="D84" i="100"/>
  <c r="D65" i="100"/>
  <c r="D46" i="100"/>
  <c r="D27" i="100"/>
  <c r="D160" i="99"/>
  <c r="D141" i="99"/>
  <c r="D122" i="99"/>
  <c r="D103" i="99"/>
  <c r="D84" i="99"/>
  <c r="D65" i="99"/>
  <c r="D46" i="99"/>
  <c r="D27" i="99"/>
  <c r="D9" i="99"/>
  <c r="D160" i="98"/>
  <c r="D141" i="98"/>
  <c r="D9" i="98" s="1"/>
  <c r="D122" i="98"/>
  <c r="D103" i="98"/>
  <c r="D84" i="98"/>
  <c r="D65" i="98"/>
  <c r="D46" i="98"/>
  <c r="D27" i="98"/>
  <c r="D160" i="97"/>
  <c r="D141" i="97"/>
  <c r="D9" i="97" s="1"/>
  <c r="D122" i="97"/>
  <c r="D103" i="97"/>
  <c r="D84" i="97"/>
  <c r="D65" i="97"/>
  <c r="D46" i="97"/>
  <c r="D27" i="97"/>
  <c r="D160" i="96"/>
  <c r="D141" i="96"/>
  <c r="D9" i="96" s="1"/>
  <c r="D122" i="96"/>
  <c r="D103" i="96"/>
  <c r="D84" i="96"/>
  <c r="D65" i="96"/>
  <c r="D46" i="96"/>
  <c r="D27" i="96"/>
  <c r="D160" i="95"/>
  <c r="D141" i="95"/>
  <c r="D122" i="95"/>
  <c r="D103" i="95"/>
  <c r="D84" i="95"/>
  <c r="D65" i="95"/>
  <c r="D46" i="95"/>
  <c r="D27" i="95"/>
  <c r="D9" i="95"/>
  <c r="D160" i="94"/>
  <c r="D141" i="94"/>
  <c r="D9" i="94" s="1"/>
  <c r="D122" i="94"/>
  <c r="D103" i="94"/>
  <c r="D84" i="94"/>
  <c r="D65" i="94"/>
  <c r="D46" i="94"/>
  <c r="D27" i="94"/>
  <c r="D160" i="93"/>
  <c r="D141" i="93"/>
  <c r="D9" i="93" s="1"/>
  <c r="D122" i="93"/>
  <c r="D103" i="93"/>
  <c r="D84" i="93"/>
  <c r="D65" i="93"/>
  <c r="D46" i="93"/>
  <c r="D27" i="93"/>
  <c r="D160" i="92"/>
  <c r="D141" i="92"/>
  <c r="D9" i="92" s="1"/>
  <c r="D122" i="92"/>
  <c r="D103" i="92"/>
  <c r="D84" i="92"/>
  <c r="D65" i="92"/>
  <c r="D46" i="92"/>
  <c r="D27" i="92"/>
  <c r="M102" i="1"/>
  <c r="M101" i="1"/>
  <c r="M100" i="1"/>
  <c r="M99" i="1"/>
  <c r="M98" i="1"/>
  <c r="M97" i="1"/>
  <c r="M96" i="1"/>
  <c r="M95" i="1"/>
  <c r="M94" i="1"/>
  <c r="M93" i="1"/>
  <c r="L102" i="1"/>
  <c r="L101" i="1"/>
  <c r="L100" i="1"/>
  <c r="L99" i="1"/>
  <c r="L98" i="1"/>
  <c r="L97" i="1"/>
  <c r="N97" i="1" s="1"/>
  <c r="L96" i="1"/>
  <c r="N96" i="1" s="1"/>
  <c r="L95" i="1"/>
  <c r="L94" i="1"/>
  <c r="L93" i="1"/>
  <c r="K102" i="1"/>
  <c r="K101" i="1"/>
  <c r="K100" i="1"/>
  <c r="K99" i="1"/>
  <c r="K98" i="1"/>
  <c r="K97" i="1"/>
  <c r="K96" i="1"/>
  <c r="K95" i="1"/>
  <c r="K94" i="1"/>
  <c r="K93" i="1"/>
  <c r="J102" i="1"/>
  <c r="J101" i="1"/>
  <c r="J100" i="1"/>
  <c r="J99" i="1"/>
  <c r="J98" i="1"/>
  <c r="J97" i="1"/>
  <c r="J96" i="1"/>
  <c r="J95" i="1"/>
  <c r="J94" i="1"/>
  <c r="J93" i="1"/>
  <c r="I102" i="1"/>
  <c r="I101" i="1"/>
  <c r="I100" i="1"/>
  <c r="I99" i="1"/>
  <c r="I98" i="1"/>
  <c r="I97" i="1"/>
  <c r="I96" i="1"/>
  <c r="I95" i="1"/>
  <c r="I94" i="1"/>
  <c r="I93" i="1"/>
  <c r="H102" i="1"/>
  <c r="H101" i="1"/>
  <c r="H100" i="1"/>
  <c r="H99" i="1"/>
  <c r="H98" i="1"/>
  <c r="H97" i="1"/>
  <c r="H96" i="1"/>
  <c r="H95" i="1"/>
  <c r="H94" i="1"/>
  <c r="H93" i="1"/>
  <c r="G102" i="1"/>
  <c r="G101" i="1"/>
  <c r="G100" i="1"/>
  <c r="G99" i="1"/>
  <c r="G98" i="1"/>
  <c r="G97" i="1"/>
  <c r="G96" i="1"/>
  <c r="G95" i="1"/>
  <c r="G94" i="1"/>
  <c r="G93" i="1"/>
  <c r="F102" i="1"/>
  <c r="F101" i="1"/>
  <c r="F100" i="1"/>
  <c r="F99" i="1"/>
  <c r="F98" i="1"/>
  <c r="F97" i="1"/>
  <c r="F96" i="1"/>
  <c r="F95" i="1"/>
  <c r="F94" i="1"/>
  <c r="F93" i="1"/>
  <c r="B5" i="91"/>
  <c r="B4" i="91"/>
  <c r="B5" i="90"/>
  <c r="B4" i="90"/>
  <c r="B5" i="89"/>
  <c r="B4" i="89"/>
  <c r="B5" i="88"/>
  <c r="B4" i="88"/>
  <c r="B5" i="87"/>
  <c r="B4" i="87"/>
  <c r="B5" i="86"/>
  <c r="B4" i="86"/>
  <c r="B5" i="85"/>
  <c r="B4" i="85"/>
  <c r="B5" i="84"/>
  <c r="B4" i="84"/>
  <c r="B4" i="83"/>
  <c r="B5" i="83"/>
  <c r="B5" i="82"/>
  <c r="B4" i="82"/>
  <c r="D160" i="91"/>
  <c r="D141" i="91"/>
  <c r="D122" i="91"/>
  <c r="D103" i="91"/>
  <c r="D84" i="91"/>
  <c r="D65" i="91"/>
  <c r="D46" i="91"/>
  <c r="D27" i="91"/>
  <c r="D9" i="91"/>
  <c r="D160" i="90"/>
  <c r="D141" i="90"/>
  <c r="D9" i="90" s="1"/>
  <c r="D122" i="90"/>
  <c r="D103" i="90"/>
  <c r="D84" i="90"/>
  <c r="D65" i="90"/>
  <c r="D46" i="90"/>
  <c r="D27" i="90"/>
  <c r="D160" i="89"/>
  <c r="D141" i="89"/>
  <c r="D9" i="89" s="1"/>
  <c r="D122" i="89"/>
  <c r="D103" i="89"/>
  <c r="D84" i="89"/>
  <c r="D65" i="89"/>
  <c r="D46" i="89"/>
  <c r="D27" i="89"/>
  <c r="D160" i="88"/>
  <c r="D141" i="88"/>
  <c r="D9" i="88" s="1"/>
  <c r="D122" i="88"/>
  <c r="D103" i="88"/>
  <c r="D84" i="88"/>
  <c r="D65" i="88"/>
  <c r="D46" i="88"/>
  <c r="D27" i="88"/>
  <c r="D160" i="87"/>
  <c r="D141" i="87"/>
  <c r="D122" i="87"/>
  <c r="D103" i="87"/>
  <c r="D84" i="87"/>
  <c r="D65" i="87"/>
  <c r="D46" i="87"/>
  <c r="D27" i="87"/>
  <c r="D9" i="87"/>
  <c r="D160" i="86"/>
  <c r="D141" i="86"/>
  <c r="D9" i="86" s="1"/>
  <c r="D122" i="86"/>
  <c r="D103" i="86"/>
  <c r="D84" i="86"/>
  <c r="D65" i="86"/>
  <c r="D46" i="86"/>
  <c r="D27" i="86"/>
  <c r="D160" i="85"/>
  <c r="D141" i="85"/>
  <c r="D9" i="85" s="1"/>
  <c r="D122" i="85"/>
  <c r="D103" i="85"/>
  <c r="D84" i="85"/>
  <c r="D65" i="85"/>
  <c r="D46" i="85"/>
  <c r="D27" i="85"/>
  <c r="D160" i="84"/>
  <c r="D141" i="84"/>
  <c r="D9" i="84" s="1"/>
  <c r="D122" i="84"/>
  <c r="D103" i="84"/>
  <c r="D84" i="84"/>
  <c r="D65" i="84"/>
  <c r="D46" i="84"/>
  <c r="D27" i="84"/>
  <c r="D160" i="83"/>
  <c r="D141" i="83"/>
  <c r="D122" i="83"/>
  <c r="D103" i="83"/>
  <c r="D84" i="83"/>
  <c r="D65" i="83"/>
  <c r="D46" i="83"/>
  <c r="D27" i="83"/>
  <c r="D9" i="83"/>
  <c r="D160" i="82"/>
  <c r="D141" i="82"/>
  <c r="D9" i="82" s="1"/>
  <c r="D122" i="82"/>
  <c r="D103" i="82"/>
  <c r="D84" i="82"/>
  <c r="D65" i="82"/>
  <c r="D46" i="82"/>
  <c r="D27" i="82"/>
  <c r="M92" i="1"/>
  <c r="M91" i="1"/>
  <c r="M90" i="1"/>
  <c r="M89" i="1"/>
  <c r="M88" i="1"/>
  <c r="M87" i="1"/>
  <c r="M86" i="1"/>
  <c r="M85" i="1"/>
  <c r="M84" i="1"/>
  <c r="M83" i="1"/>
  <c r="L92" i="1"/>
  <c r="L91" i="1"/>
  <c r="L90" i="1"/>
  <c r="L89" i="1"/>
  <c r="N89" i="1" s="1"/>
  <c r="L88" i="1"/>
  <c r="L87" i="1"/>
  <c r="L86" i="1"/>
  <c r="L85" i="1"/>
  <c r="N85" i="1" s="1"/>
  <c r="L84" i="1"/>
  <c r="L83" i="1"/>
  <c r="K92" i="1"/>
  <c r="K91" i="1"/>
  <c r="K90" i="1"/>
  <c r="K89" i="1"/>
  <c r="K88" i="1"/>
  <c r="K87" i="1"/>
  <c r="K86" i="1"/>
  <c r="K85" i="1"/>
  <c r="K84" i="1"/>
  <c r="K83" i="1"/>
  <c r="J92" i="1"/>
  <c r="J91" i="1"/>
  <c r="J90" i="1"/>
  <c r="J89" i="1"/>
  <c r="J88" i="1"/>
  <c r="J87" i="1"/>
  <c r="J86" i="1"/>
  <c r="J85" i="1"/>
  <c r="J84" i="1"/>
  <c r="J83" i="1"/>
  <c r="I92" i="1"/>
  <c r="I91" i="1"/>
  <c r="I90" i="1"/>
  <c r="I89" i="1"/>
  <c r="I88" i="1"/>
  <c r="I87" i="1"/>
  <c r="I86" i="1"/>
  <c r="I85" i="1"/>
  <c r="I84" i="1"/>
  <c r="I83" i="1"/>
  <c r="H92" i="1"/>
  <c r="H91" i="1"/>
  <c r="H90" i="1"/>
  <c r="H89" i="1"/>
  <c r="H88" i="1"/>
  <c r="H87" i="1"/>
  <c r="H86" i="1"/>
  <c r="H85" i="1"/>
  <c r="H84" i="1"/>
  <c r="H83" i="1"/>
  <c r="G92" i="1"/>
  <c r="G91" i="1"/>
  <c r="G90" i="1"/>
  <c r="G89" i="1"/>
  <c r="G88" i="1"/>
  <c r="G87" i="1"/>
  <c r="G86" i="1"/>
  <c r="G85" i="1"/>
  <c r="G84" i="1"/>
  <c r="G83" i="1"/>
  <c r="F92" i="1"/>
  <c r="F91" i="1"/>
  <c r="F90" i="1"/>
  <c r="F89" i="1"/>
  <c r="F88" i="1"/>
  <c r="F87" i="1"/>
  <c r="F86" i="1"/>
  <c r="F85" i="1"/>
  <c r="F84" i="1"/>
  <c r="F83" i="1"/>
  <c r="B5" i="81"/>
  <c r="B4" i="81"/>
  <c r="B5" i="79"/>
  <c r="B4" i="79"/>
  <c r="B5" i="80"/>
  <c r="B4" i="80"/>
  <c r="B5" i="78"/>
  <c r="B4" i="78"/>
  <c r="B5" i="77"/>
  <c r="B4" i="77"/>
  <c r="B5" i="76"/>
  <c r="B4" i="76"/>
  <c r="B5" i="75"/>
  <c r="B4" i="75"/>
  <c r="B5" i="74"/>
  <c r="B4" i="74"/>
  <c r="B5" i="73"/>
  <c r="B4" i="73"/>
  <c r="B5" i="72"/>
  <c r="B4" i="72"/>
  <c r="D160" i="81"/>
  <c r="D141" i="81"/>
  <c r="D122" i="81"/>
  <c r="D103" i="81"/>
  <c r="D84" i="81"/>
  <c r="D65" i="81"/>
  <c r="D46" i="81"/>
  <c r="D27" i="81"/>
  <c r="D9" i="81"/>
  <c r="D160" i="80"/>
  <c r="D141" i="80"/>
  <c r="D9" i="80" s="1"/>
  <c r="D122" i="80"/>
  <c r="D103" i="80"/>
  <c r="D84" i="80"/>
  <c r="D65" i="80"/>
  <c r="D46" i="80"/>
  <c r="D27" i="80"/>
  <c r="D160" i="79"/>
  <c r="D141" i="79"/>
  <c r="D9" i="79" s="1"/>
  <c r="D122" i="79"/>
  <c r="D103" i="79"/>
  <c r="D84" i="79"/>
  <c r="D65" i="79"/>
  <c r="D46" i="79"/>
  <c r="D27" i="79"/>
  <c r="D160" i="78"/>
  <c r="D141" i="78"/>
  <c r="D9" i="78" s="1"/>
  <c r="D122" i="78"/>
  <c r="D103" i="78"/>
  <c r="D84" i="78"/>
  <c r="D65" i="78"/>
  <c r="D46" i="78"/>
  <c r="D27" i="78"/>
  <c r="D160" i="77"/>
  <c r="D141" i="77"/>
  <c r="D9" i="77" s="1"/>
  <c r="D122" i="77"/>
  <c r="D103" i="77"/>
  <c r="D84" i="77"/>
  <c r="D65" i="77"/>
  <c r="D46" i="77"/>
  <c r="D27" i="77"/>
  <c r="D160" i="76"/>
  <c r="D141" i="76"/>
  <c r="D9" i="76" s="1"/>
  <c r="D122" i="76"/>
  <c r="D103" i="76"/>
  <c r="D84" i="76"/>
  <c r="D65" i="76"/>
  <c r="D46" i="76"/>
  <c r="D27" i="76"/>
  <c r="D160" i="75"/>
  <c r="D141" i="75"/>
  <c r="D122" i="75"/>
  <c r="D103" i="75"/>
  <c r="D84" i="75"/>
  <c r="D65" i="75"/>
  <c r="D46" i="75"/>
  <c r="D27" i="75"/>
  <c r="D9" i="75"/>
  <c r="D160" i="74"/>
  <c r="D141" i="74"/>
  <c r="D9" i="74" s="1"/>
  <c r="D122" i="74"/>
  <c r="D103" i="74"/>
  <c r="D84" i="74"/>
  <c r="D65" i="74"/>
  <c r="D46" i="74"/>
  <c r="D27" i="74"/>
  <c r="D160" i="73"/>
  <c r="D141" i="73"/>
  <c r="D9" i="73" s="1"/>
  <c r="D122" i="73"/>
  <c r="D103" i="73"/>
  <c r="D84" i="73"/>
  <c r="D65" i="73"/>
  <c r="D46" i="73"/>
  <c r="D27" i="73"/>
  <c r="D160" i="72"/>
  <c r="D141" i="72"/>
  <c r="D9" i="72" s="1"/>
  <c r="D122" i="72"/>
  <c r="D103" i="72"/>
  <c r="D84" i="72"/>
  <c r="D65" i="72"/>
  <c r="D46" i="72"/>
  <c r="D27" i="72"/>
  <c r="N83" i="1"/>
  <c r="N84" i="1"/>
  <c r="N86" i="1"/>
  <c r="N87" i="1"/>
  <c r="N88" i="1"/>
  <c r="N90" i="1"/>
  <c r="N91" i="1"/>
  <c r="N92" i="1"/>
  <c r="N93" i="1"/>
  <c r="N94" i="1"/>
  <c r="N95" i="1"/>
  <c r="N98" i="1"/>
  <c r="N99" i="1"/>
  <c r="N100" i="1"/>
  <c r="N101" i="1"/>
  <c r="N102" i="1"/>
  <c r="N103" i="1"/>
  <c r="N105" i="1"/>
  <c r="N106" i="1"/>
  <c r="N107" i="1"/>
  <c r="N109" i="1"/>
  <c r="N110" i="1"/>
  <c r="N111" i="1"/>
  <c r="N113" i="1"/>
  <c r="N114" i="1"/>
  <c r="N115" i="1"/>
  <c r="N117" i="1"/>
  <c r="N118" i="1"/>
  <c r="N119" i="1"/>
  <c r="N121" i="1"/>
  <c r="N122" i="1"/>
  <c r="N123" i="1"/>
  <c r="N125" i="1"/>
  <c r="N126" i="1"/>
  <c r="N127" i="1"/>
  <c r="N128" i="1"/>
  <c r="N129" i="1"/>
  <c r="N130" i="1"/>
  <c r="N131" i="1"/>
  <c r="N132" i="1"/>
  <c r="M82" i="1"/>
  <c r="M81" i="1"/>
  <c r="M80" i="1"/>
  <c r="M79" i="1"/>
  <c r="M78" i="1"/>
  <c r="M77" i="1"/>
  <c r="M76" i="1"/>
  <c r="M75" i="1"/>
  <c r="M74" i="1"/>
  <c r="M73" i="1"/>
  <c r="L82" i="1"/>
  <c r="N82" i="1" s="1"/>
  <c r="L81" i="1"/>
  <c r="L80" i="1"/>
  <c r="L79" i="1"/>
  <c r="L78" i="1"/>
  <c r="N78" i="1" s="1"/>
  <c r="L77" i="1"/>
  <c r="L76" i="1"/>
  <c r="L75" i="1"/>
  <c r="L74" i="1"/>
  <c r="N74" i="1" s="1"/>
  <c r="L73" i="1"/>
  <c r="K82" i="1"/>
  <c r="K81" i="1"/>
  <c r="K80" i="1"/>
  <c r="K79" i="1"/>
  <c r="K78" i="1"/>
  <c r="K77" i="1"/>
  <c r="K76" i="1"/>
  <c r="K75" i="1"/>
  <c r="K74" i="1"/>
  <c r="K73" i="1"/>
  <c r="J82" i="1"/>
  <c r="J81" i="1"/>
  <c r="J80" i="1"/>
  <c r="J79" i="1"/>
  <c r="J78" i="1"/>
  <c r="J77" i="1"/>
  <c r="J76" i="1"/>
  <c r="J75" i="1"/>
  <c r="J74" i="1"/>
  <c r="J73" i="1"/>
  <c r="I82" i="1"/>
  <c r="I81" i="1"/>
  <c r="I80" i="1"/>
  <c r="I79" i="1"/>
  <c r="I78" i="1"/>
  <c r="I77" i="1"/>
  <c r="I76" i="1"/>
  <c r="I75" i="1"/>
  <c r="I74" i="1"/>
  <c r="I73" i="1"/>
  <c r="H82" i="1"/>
  <c r="H81" i="1"/>
  <c r="H80" i="1"/>
  <c r="H79" i="1"/>
  <c r="H78" i="1"/>
  <c r="H77" i="1"/>
  <c r="H76" i="1"/>
  <c r="H75" i="1"/>
  <c r="H74" i="1"/>
  <c r="H73" i="1"/>
  <c r="G82" i="1"/>
  <c r="G81" i="1"/>
  <c r="G80" i="1"/>
  <c r="G79" i="1"/>
  <c r="G78" i="1"/>
  <c r="G77" i="1"/>
  <c r="G76" i="1"/>
  <c r="G75" i="1"/>
  <c r="G74" i="1"/>
  <c r="G73" i="1"/>
  <c r="F82" i="1"/>
  <c r="F81" i="1"/>
  <c r="F80" i="1"/>
  <c r="F79" i="1"/>
  <c r="F78" i="1"/>
  <c r="F77" i="1"/>
  <c r="F76" i="1"/>
  <c r="F75" i="1"/>
  <c r="F74" i="1"/>
  <c r="F73" i="1"/>
  <c r="B5" i="71"/>
  <c r="B4" i="71"/>
  <c r="B5" i="70"/>
  <c r="B4" i="70"/>
  <c r="B5" i="69"/>
  <c r="B4" i="69"/>
  <c r="B5" i="68"/>
  <c r="B4" i="68"/>
  <c r="B5" i="67"/>
  <c r="B4" i="67"/>
  <c r="B5" i="66"/>
  <c r="B4" i="66"/>
  <c r="B5" i="65"/>
  <c r="B4" i="65"/>
  <c r="B5" i="64"/>
  <c r="B4" i="64"/>
  <c r="B5" i="63"/>
  <c r="B4" i="63"/>
  <c r="B5" i="62"/>
  <c r="B4" i="62"/>
  <c r="D160" i="71"/>
  <c r="D141" i="71"/>
  <c r="D9" i="71" s="1"/>
  <c r="D122" i="71"/>
  <c r="D103" i="71"/>
  <c r="D84" i="71"/>
  <c r="D65" i="71"/>
  <c r="D46" i="71"/>
  <c r="D27" i="71"/>
  <c r="D160" i="70"/>
  <c r="D141" i="70"/>
  <c r="D9" i="70" s="1"/>
  <c r="D122" i="70"/>
  <c r="D103" i="70"/>
  <c r="D84" i="70"/>
  <c r="D65" i="70"/>
  <c r="D46" i="70"/>
  <c r="D27" i="70"/>
  <c r="D160" i="69"/>
  <c r="D141" i="69"/>
  <c r="D122" i="69"/>
  <c r="D103" i="69"/>
  <c r="D84" i="69"/>
  <c r="D65" i="69"/>
  <c r="D46" i="69"/>
  <c r="D27" i="69"/>
  <c r="D9" i="69"/>
  <c r="D160" i="68"/>
  <c r="D141" i="68"/>
  <c r="D9" i="68" s="1"/>
  <c r="D122" i="68"/>
  <c r="D103" i="68"/>
  <c r="D84" i="68"/>
  <c r="D65" i="68"/>
  <c r="D46" i="68"/>
  <c r="D27" i="68"/>
  <c r="D160" i="67"/>
  <c r="D141" i="67"/>
  <c r="D9" i="67" s="1"/>
  <c r="D122" i="67"/>
  <c r="D103" i="67"/>
  <c r="D84" i="67"/>
  <c r="D65" i="67"/>
  <c r="D46" i="67"/>
  <c r="D27" i="67"/>
  <c r="D160" i="66"/>
  <c r="D141" i="66"/>
  <c r="D9" i="66" s="1"/>
  <c r="D122" i="66"/>
  <c r="D103" i="66"/>
  <c r="D84" i="66"/>
  <c r="D65" i="66"/>
  <c r="D46" i="66"/>
  <c r="D27" i="66"/>
  <c r="D160" i="65"/>
  <c r="D141" i="65"/>
  <c r="D122" i="65"/>
  <c r="D103" i="65"/>
  <c r="D84" i="65"/>
  <c r="D65" i="65"/>
  <c r="D46" i="65"/>
  <c r="D27" i="65"/>
  <c r="D9" i="65"/>
  <c r="D160" i="64"/>
  <c r="D141" i="64"/>
  <c r="D9" i="64" s="1"/>
  <c r="D122" i="64"/>
  <c r="D103" i="64"/>
  <c r="D84" i="64"/>
  <c r="D65" i="64"/>
  <c r="D46" i="64"/>
  <c r="D27" i="64"/>
  <c r="D160" i="63"/>
  <c r="D141" i="63"/>
  <c r="D9" i="63" s="1"/>
  <c r="D122" i="63"/>
  <c r="D103" i="63"/>
  <c r="D84" i="63"/>
  <c r="D65" i="63"/>
  <c r="D46" i="63"/>
  <c r="D27" i="63"/>
  <c r="D160" i="62"/>
  <c r="D141" i="62"/>
  <c r="D9" i="62" s="1"/>
  <c r="D122" i="62"/>
  <c r="D103" i="62"/>
  <c r="D84" i="62"/>
  <c r="D65" i="62"/>
  <c r="D46" i="62"/>
  <c r="D27" i="62"/>
  <c r="M72" i="1"/>
  <c r="M71" i="1"/>
  <c r="M70" i="1"/>
  <c r="M69" i="1"/>
  <c r="M68" i="1"/>
  <c r="M67" i="1"/>
  <c r="M66" i="1"/>
  <c r="M65" i="1"/>
  <c r="M64" i="1"/>
  <c r="M63" i="1"/>
  <c r="L72" i="1"/>
  <c r="L71" i="1"/>
  <c r="L70" i="1"/>
  <c r="N70" i="1" s="1"/>
  <c r="L69" i="1"/>
  <c r="L68" i="1"/>
  <c r="L67" i="1"/>
  <c r="L66" i="1"/>
  <c r="N66" i="1" s="1"/>
  <c r="L65" i="1"/>
  <c r="L64" i="1"/>
  <c r="L63" i="1"/>
  <c r="K72" i="1"/>
  <c r="K71" i="1"/>
  <c r="K70" i="1"/>
  <c r="K69" i="1"/>
  <c r="K68" i="1"/>
  <c r="K67" i="1"/>
  <c r="K66" i="1"/>
  <c r="K65" i="1"/>
  <c r="K64" i="1"/>
  <c r="K63" i="1"/>
  <c r="J72" i="1"/>
  <c r="J71" i="1"/>
  <c r="J70" i="1"/>
  <c r="J69" i="1"/>
  <c r="J68" i="1"/>
  <c r="J67" i="1"/>
  <c r="J66" i="1"/>
  <c r="J65" i="1"/>
  <c r="J64" i="1"/>
  <c r="J63" i="1"/>
  <c r="I72" i="1"/>
  <c r="I71" i="1"/>
  <c r="I70" i="1"/>
  <c r="I69" i="1"/>
  <c r="I68" i="1"/>
  <c r="I67" i="1"/>
  <c r="I66" i="1"/>
  <c r="I65" i="1"/>
  <c r="I64" i="1"/>
  <c r="I63" i="1"/>
  <c r="H72" i="1"/>
  <c r="H71" i="1"/>
  <c r="H70" i="1"/>
  <c r="H69" i="1"/>
  <c r="H68" i="1"/>
  <c r="H67" i="1"/>
  <c r="H66" i="1"/>
  <c r="H65" i="1"/>
  <c r="H64" i="1"/>
  <c r="H63" i="1"/>
  <c r="G72" i="1"/>
  <c r="G71" i="1"/>
  <c r="G70" i="1"/>
  <c r="G69" i="1"/>
  <c r="G68" i="1"/>
  <c r="G67" i="1"/>
  <c r="G66" i="1"/>
  <c r="G65" i="1"/>
  <c r="G64" i="1"/>
  <c r="G63" i="1"/>
  <c r="F72" i="1"/>
  <c r="F71" i="1"/>
  <c r="F70" i="1"/>
  <c r="F69" i="1"/>
  <c r="F68" i="1"/>
  <c r="F67" i="1"/>
  <c r="F66" i="1"/>
  <c r="F65" i="1"/>
  <c r="F64" i="1"/>
  <c r="F63" i="1"/>
  <c r="B5" i="61"/>
  <c r="B4" i="61"/>
  <c r="B5" i="60"/>
  <c r="B4" i="60"/>
  <c r="B5" i="59"/>
  <c r="B4" i="59"/>
  <c r="B5" i="58"/>
  <c r="B4" i="58"/>
  <c r="B5" i="57"/>
  <c r="B4" i="57"/>
  <c r="B5" i="56"/>
  <c r="B4" i="56"/>
  <c r="B4" i="55"/>
  <c r="B5" i="55"/>
  <c r="B5" i="54"/>
  <c r="B4" i="54"/>
  <c r="B5" i="53"/>
  <c r="B4" i="53"/>
  <c r="B5" i="52"/>
  <c r="B4" i="52"/>
  <c r="D160" i="61"/>
  <c r="D141" i="61"/>
  <c r="D122" i="61"/>
  <c r="D103" i="61"/>
  <c r="D84" i="61"/>
  <c r="D65" i="61"/>
  <c r="D46" i="61"/>
  <c r="D27" i="61"/>
  <c r="D9" i="61"/>
  <c r="D160" i="60"/>
  <c r="D141" i="60"/>
  <c r="D9" i="60" s="1"/>
  <c r="D122" i="60"/>
  <c r="D103" i="60"/>
  <c r="D84" i="60"/>
  <c r="D65" i="60"/>
  <c r="D46" i="60"/>
  <c r="D27" i="60"/>
  <c r="D160" i="59"/>
  <c r="D141" i="59"/>
  <c r="D9" i="59" s="1"/>
  <c r="D122" i="59"/>
  <c r="D103" i="59"/>
  <c r="D84" i="59"/>
  <c r="D65" i="59"/>
  <c r="D46" i="59"/>
  <c r="D27" i="59"/>
  <c r="D160" i="58"/>
  <c r="D141" i="58"/>
  <c r="D9" i="58" s="1"/>
  <c r="D122" i="58"/>
  <c r="D103" i="58"/>
  <c r="D84" i="58"/>
  <c r="D65" i="58"/>
  <c r="D46" i="58"/>
  <c r="D27" i="58"/>
  <c r="D160" i="57"/>
  <c r="D141" i="57"/>
  <c r="D122" i="57"/>
  <c r="D103" i="57"/>
  <c r="D84" i="57"/>
  <c r="D65" i="57"/>
  <c r="D46" i="57"/>
  <c r="D27" i="57"/>
  <c r="D9" i="57"/>
  <c r="D160" i="56"/>
  <c r="D141" i="56"/>
  <c r="D9" i="56" s="1"/>
  <c r="D122" i="56"/>
  <c r="D103" i="56"/>
  <c r="D84" i="56"/>
  <c r="D65" i="56"/>
  <c r="D46" i="56"/>
  <c r="D27" i="56"/>
  <c r="D160" i="55"/>
  <c r="D141" i="55"/>
  <c r="D9" i="55" s="1"/>
  <c r="D122" i="55"/>
  <c r="D103" i="55"/>
  <c r="D84" i="55"/>
  <c r="D65" i="55"/>
  <c r="D46" i="55"/>
  <c r="D27" i="55"/>
  <c r="D160" i="54"/>
  <c r="D141" i="54"/>
  <c r="D9" i="54" s="1"/>
  <c r="D122" i="54"/>
  <c r="D103" i="54"/>
  <c r="D84" i="54"/>
  <c r="D65" i="54"/>
  <c r="D46" i="54"/>
  <c r="D27" i="54"/>
  <c r="D160" i="53"/>
  <c r="D141" i="53"/>
  <c r="D122" i="53"/>
  <c r="D103" i="53"/>
  <c r="D84" i="53"/>
  <c r="D65" i="53"/>
  <c r="D46" i="53"/>
  <c r="D27" i="53"/>
  <c r="D9" i="53"/>
  <c r="D160" i="52"/>
  <c r="D141" i="52"/>
  <c r="D9" i="52" s="1"/>
  <c r="D122" i="52"/>
  <c r="D103" i="52"/>
  <c r="D84" i="52"/>
  <c r="D65" i="52"/>
  <c r="D46" i="52"/>
  <c r="D27" i="52"/>
  <c r="M62" i="1"/>
  <c r="M61" i="1"/>
  <c r="M60" i="1"/>
  <c r="M59" i="1"/>
  <c r="M58" i="1"/>
  <c r="M57" i="1"/>
  <c r="M56" i="1"/>
  <c r="M55" i="1"/>
  <c r="M54" i="1"/>
  <c r="M53" i="1"/>
  <c r="L62" i="1"/>
  <c r="L61" i="1"/>
  <c r="L60" i="1"/>
  <c r="L59" i="1"/>
  <c r="L58" i="1"/>
  <c r="L57" i="1"/>
  <c r="L56" i="1"/>
  <c r="L55" i="1"/>
  <c r="L54" i="1"/>
  <c r="N54" i="1" s="1"/>
  <c r="L53" i="1"/>
  <c r="K62" i="1"/>
  <c r="K61" i="1"/>
  <c r="K60" i="1"/>
  <c r="K59" i="1"/>
  <c r="K58" i="1"/>
  <c r="K57" i="1"/>
  <c r="K56" i="1"/>
  <c r="K55" i="1"/>
  <c r="K54" i="1"/>
  <c r="K53" i="1"/>
  <c r="K52" i="1"/>
  <c r="J62" i="1"/>
  <c r="J61" i="1"/>
  <c r="J60" i="1"/>
  <c r="J59" i="1"/>
  <c r="J58" i="1"/>
  <c r="J57" i="1"/>
  <c r="J56" i="1"/>
  <c r="J55" i="1"/>
  <c r="J54" i="1"/>
  <c r="J53" i="1"/>
  <c r="I62" i="1"/>
  <c r="I61" i="1"/>
  <c r="I60" i="1"/>
  <c r="I59" i="1"/>
  <c r="I58" i="1"/>
  <c r="I57" i="1"/>
  <c r="I56" i="1"/>
  <c r="I55" i="1"/>
  <c r="I54" i="1"/>
  <c r="I53" i="1"/>
  <c r="H62" i="1"/>
  <c r="H61" i="1"/>
  <c r="H60" i="1"/>
  <c r="H59" i="1"/>
  <c r="H58" i="1"/>
  <c r="H57" i="1"/>
  <c r="H56" i="1"/>
  <c r="H55" i="1"/>
  <c r="H54" i="1"/>
  <c r="H53" i="1"/>
  <c r="G62" i="1"/>
  <c r="G61" i="1"/>
  <c r="G59" i="1"/>
  <c r="G60" i="1"/>
  <c r="G58" i="1"/>
  <c r="G57" i="1"/>
  <c r="G56" i="1"/>
  <c r="G55" i="1"/>
  <c r="G54" i="1"/>
  <c r="G53" i="1"/>
  <c r="F62" i="1"/>
  <c r="F61" i="1"/>
  <c r="F60" i="1"/>
  <c r="F59" i="1"/>
  <c r="F58" i="1"/>
  <c r="F57" i="1"/>
  <c r="F56" i="1"/>
  <c r="F55" i="1"/>
  <c r="F54" i="1"/>
  <c r="F53" i="1"/>
  <c r="B5" i="51"/>
  <c r="B4" i="51"/>
  <c r="B5" i="50"/>
  <c r="B4" i="50"/>
  <c r="B5" i="49"/>
  <c r="B4" i="49"/>
  <c r="B5" i="48"/>
  <c r="B4" i="48"/>
  <c r="B5" i="47"/>
  <c r="B4" i="47"/>
  <c r="B5" i="46"/>
  <c r="B4" i="46"/>
  <c r="B5" i="45"/>
  <c r="B4" i="45"/>
  <c r="B4" i="44"/>
  <c r="B5" i="44"/>
  <c r="B4" i="43"/>
  <c r="B5" i="43"/>
  <c r="B5" i="42"/>
  <c r="B4" i="42"/>
  <c r="D160" i="51"/>
  <c r="D141" i="51"/>
  <c r="D9" i="51" s="1"/>
  <c r="D122" i="51"/>
  <c r="D103" i="51"/>
  <c r="D84" i="51"/>
  <c r="D65" i="51"/>
  <c r="D46" i="51"/>
  <c r="D27" i="51"/>
  <c r="D160" i="50"/>
  <c r="D141" i="50"/>
  <c r="D122" i="50"/>
  <c r="D103" i="50"/>
  <c r="D84" i="50"/>
  <c r="D65" i="50"/>
  <c r="D46" i="50"/>
  <c r="D27" i="50"/>
  <c r="D9" i="50"/>
  <c r="D160" i="49"/>
  <c r="D141" i="49"/>
  <c r="D9" i="49" s="1"/>
  <c r="D122" i="49"/>
  <c r="D103" i="49"/>
  <c r="D84" i="49"/>
  <c r="D65" i="49"/>
  <c r="D46" i="49"/>
  <c r="D27" i="49"/>
  <c r="D160" i="48"/>
  <c r="D141" i="48"/>
  <c r="D9" i="48" s="1"/>
  <c r="D122" i="48"/>
  <c r="D103" i="48"/>
  <c r="D84" i="48"/>
  <c r="D65" i="48"/>
  <c r="D46" i="48"/>
  <c r="D27" i="48"/>
  <c r="D160" i="47"/>
  <c r="D141" i="47"/>
  <c r="D9" i="47" s="1"/>
  <c r="D122" i="47"/>
  <c r="D103" i="47"/>
  <c r="D84" i="47"/>
  <c r="D65" i="47"/>
  <c r="D46" i="47"/>
  <c r="D27" i="47"/>
  <c r="D160" i="46"/>
  <c r="D141" i="46"/>
  <c r="D122" i="46"/>
  <c r="D103" i="46"/>
  <c r="D84" i="46"/>
  <c r="D65" i="46"/>
  <c r="D46" i="46"/>
  <c r="D27" i="46"/>
  <c r="D9" i="46"/>
  <c r="D160" i="45"/>
  <c r="D141" i="45"/>
  <c r="D122" i="45"/>
  <c r="D103" i="45"/>
  <c r="D84" i="45"/>
  <c r="D65" i="45"/>
  <c r="D46" i="45"/>
  <c r="D27" i="45"/>
  <c r="D9" i="45"/>
  <c r="D160" i="44"/>
  <c r="D141" i="44"/>
  <c r="D122" i="44"/>
  <c r="D103" i="44"/>
  <c r="D84" i="44"/>
  <c r="D65" i="44"/>
  <c r="D46" i="44"/>
  <c r="D27" i="44"/>
  <c r="D9" i="44"/>
  <c r="D160" i="43"/>
  <c r="D141" i="43"/>
  <c r="D9" i="43" s="1"/>
  <c r="D122" i="43"/>
  <c r="D103" i="43"/>
  <c r="D84" i="43"/>
  <c r="D65" i="43"/>
  <c r="D46" i="43"/>
  <c r="D27" i="43"/>
  <c r="D160" i="42"/>
  <c r="D141" i="42"/>
  <c r="D122" i="42"/>
  <c r="D103" i="42"/>
  <c r="D84" i="42"/>
  <c r="D65" i="42"/>
  <c r="D46" i="42"/>
  <c r="D27" i="42"/>
  <c r="D9" i="42"/>
  <c r="M52" i="1"/>
  <c r="M51" i="1"/>
  <c r="M50" i="1"/>
  <c r="M49" i="1"/>
  <c r="M48" i="1"/>
  <c r="M47" i="1"/>
  <c r="M45" i="1"/>
  <c r="M46" i="1"/>
  <c r="M44" i="1"/>
  <c r="M43" i="1"/>
  <c r="L52" i="1"/>
  <c r="L51" i="1"/>
  <c r="L50" i="1"/>
  <c r="L49" i="1"/>
  <c r="N49" i="1" s="1"/>
  <c r="L48" i="1"/>
  <c r="L47" i="1"/>
  <c r="N47" i="1" s="1"/>
  <c r="L46" i="1"/>
  <c r="L45" i="1"/>
  <c r="L44" i="1"/>
  <c r="L43" i="1"/>
  <c r="K51" i="1"/>
  <c r="K50" i="1"/>
  <c r="K49" i="1"/>
  <c r="K48" i="1"/>
  <c r="K47" i="1"/>
  <c r="K46" i="1"/>
  <c r="K45" i="1"/>
  <c r="K44" i="1"/>
  <c r="K43" i="1"/>
  <c r="J52" i="1"/>
  <c r="J51" i="1"/>
  <c r="J50" i="1"/>
  <c r="J49" i="1"/>
  <c r="J48" i="1"/>
  <c r="J47" i="1"/>
  <c r="J46" i="1"/>
  <c r="J45" i="1"/>
  <c r="J44" i="1"/>
  <c r="J43" i="1"/>
  <c r="I52" i="1"/>
  <c r="I51" i="1"/>
  <c r="I50" i="1"/>
  <c r="I49" i="1"/>
  <c r="I48" i="1"/>
  <c r="I47" i="1"/>
  <c r="I46" i="1"/>
  <c r="I45" i="1"/>
  <c r="I44" i="1"/>
  <c r="I43" i="1"/>
  <c r="H52" i="1"/>
  <c r="H51" i="1"/>
  <c r="H50" i="1"/>
  <c r="H49" i="1"/>
  <c r="H48" i="1"/>
  <c r="H47" i="1"/>
  <c r="H46" i="1"/>
  <c r="H45" i="1"/>
  <c r="H44" i="1"/>
  <c r="H43" i="1"/>
  <c r="G52" i="1"/>
  <c r="G51" i="1"/>
  <c r="G50" i="1"/>
  <c r="G49" i="1"/>
  <c r="G48" i="1"/>
  <c r="G47" i="1"/>
  <c r="G46" i="1"/>
  <c r="G45" i="1"/>
  <c r="G44" i="1"/>
  <c r="G43" i="1"/>
  <c r="F52" i="1"/>
  <c r="F51" i="1"/>
  <c r="F50" i="1"/>
  <c r="F49" i="1"/>
  <c r="F48" i="1"/>
  <c r="F47" i="1"/>
  <c r="F46" i="1"/>
  <c r="F45" i="1"/>
  <c r="F44" i="1"/>
  <c r="F43" i="1"/>
  <c r="B5" i="41"/>
  <c r="B4" i="41"/>
  <c r="B5" i="40"/>
  <c r="B4" i="40"/>
  <c r="B5" i="39"/>
  <c r="B4" i="39"/>
  <c r="B5" i="38"/>
  <c r="B4" i="38"/>
  <c r="B5" i="37"/>
  <c r="B4" i="37"/>
  <c r="B5" i="36"/>
  <c r="B4" i="36"/>
  <c r="B5" i="35"/>
  <c r="B4" i="35"/>
  <c r="B5" i="34"/>
  <c r="B4" i="34"/>
  <c r="B5" i="33"/>
  <c r="B4" i="33"/>
  <c r="B5" i="32"/>
  <c r="B4" i="32"/>
  <c r="D160" i="41"/>
  <c r="D141" i="41"/>
  <c r="D122" i="41"/>
  <c r="D103" i="41"/>
  <c r="D84" i="41"/>
  <c r="D65" i="41"/>
  <c r="D46" i="41"/>
  <c r="D27" i="41"/>
  <c r="D9" i="41"/>
  <c r="D160" i="40"/>
  <c r="D141" i="40"/>
  <c r="D122" i="40"/>
  <c r="D103" i="40"/>
  <c r="D84" i="40"/>
  <c r="D65" i="40"/>
  <c r="D46" i="40"/>
  <c r="D27" i="40"/>
  <c r="D9" i="40"/>
  <c r="D160" i="39"/>
  <c r="D141" i="39"/>
  <c r="D9" i="39" s="1"/>
  <c r="D122" i="39"/>
  <c r="D103" i="39"/>
  <c r="D84" i="39"/>
  <c r="D65" i="39"/>
  <c r="D46" i="39"/>
  <c r="D27" i="39"/>
  <c r="D160" i="38"/>
  <c r="D141" i="38"/>
  <c r="D9" i="38" s="1"/>
  <c r="D122" i="38"/>
  <c r="D103" i="38"/>
  <c r="D84" i="38"/>
  <c r="D65" i="38"/>
  <c r="D46" i="38"/>
  <c r="D27" i="38"/>
  <c r="D160" i="37"/>
  <c r="D141" i="37"/>
  <c r="D122" i="37"/>
  <c r="D103" i="37"/>
  <c r="D84" i="37"/>
  <c r="D65" i="37"/>
  <c r="D46" i="37"/>
  <c r="D27" i="37"/>
  <c r="D9" i="37"/>
  <c r="D160" i="36"/>
  <c r="D141" i="36"/>
  <c r="D9" i="36" s="1"/>
  <c r="D122" i="36"/>
  <c r="D103" i="36"/>
  <c r="D84" i="36"/>
  <c r="D65" i="36"/>
  <c r="D46" i="36"/>
  <c r="D27" i="36"/>
  <c r="D160" i="35"/>
  <c r="D141" i="35"/>
  <c r="D9" i="35" s="1"/>
  <c r="D122" i="35"/>
  <c r="D103" i="35"/>
  <c r="D84" i="35"/>
  <c r="D65" i="35"/>
  <c r="D46" i="35"/>
  <c r="D27" i="35"/>
  <c r="D160" i="34"/>
  <c r="D141" i="34"/>
  <c r="D9" i="34" s="1"/>
  <c r="D122" i="34"/>
  <c r="D103" i="34"/>
  <c r="D84" i="34"/>
  <c r="D65" i="34"/>
  <c r="D46" i="34"/>
  <c r="D27" i="34"/>
  <c r="D160" i="33"/>
  <c r="D141" i="33"/>
  <c r="D9" i="33" s="1"/>
  <c r="D122" i="33"/>
  <c r="D103" i="33"/>
  <c r="D84" i="33"/>
  <c r="D65" i="33"/>
  <c r="D46" i="33"/>
  <c r="D27" i="33"/>
  <c r="D160" i="32"/>
  <c r="D141" i="32"/>
  <c r="D9" i="32" s="1"/>
  <c r="D122" i="32"/>
  <c r="D103" i="32"/>
  <c r="D84" i="32"/>
  <c r="D65" i="32"/>
  <c r="D46" i="32"/>
  <c r="D27" i="32"/>
  <c r="N52" i="1"/>
  <c r="N53" i="1"/>
  <c r="N55" i="1"/>
  <c r="N56" i="1"/>
  <c r="N57" i="1"/>
  <c r="N58" i="1"/>
  <c r="N59" i="1"/>
  <c r="N60" i="1"/>
  <c r="N61" i="1"/>
  <c r="N62" i="1"/>
  <c r="N63" i="1"/>
  <c r="N64" i="1"/>
  <c r="N65" i="1"/>
  <c r="N67" i="1"/>
  <c r="N68" i="1"/>
  <c r="N69" i="1"/>
  <c r="N71" i="1"/>
  <c r="N72" i="1"/>
  <c r="N73" i="1"/>
  <c r="N75" i="1"/>
  <c r="N76" i="1"/>
  <c r="N77" i="1"/>
  <c r="N79" i="1"/>
  <c r="N80" i="1"/>
  <c r="N81" i="1"/>
  <c r="N48" i="1"/>
  <c r="N50" i="1"/>
  <c r="N51" i="1"/>
  <c r="N43" i="1"/>
  <c r="N44" i="1"/>
  <c r="N45" i="1"/>
  <c r="N46" i="1"/>
  <c r="F41" i="1"/>
  <c r="G41" i="1"/>
  <c r="H41" i="1"/>
  <c r="I41" i="1"/>
  <c r="J41" i="1"/>
  <c r="K41" i="1"/>
  <c r="L41" i="1"/>
  <c r="N41" i="1" s="1"/>
  <c r="M41" i="1"/>
  <c r="F42" i="1"/>
  <c r="G42" i="1"/>
  <c r="H42" i="1"/>
  <c r="I42" i="1"/>
  <c r="J42" i="1"/>
  <c r="K42" i="1"/>
  <c r="L42" i="1"/>
  <c r="N42" i="1" s="1"/>
  <c r="M42" i="1"/>
  <c r="F33" i="1"/>
  <c r="G33" i="1"/>
  <c r="H33" i="1"/>
  <c r="I33" i="1"/>
  <c r="J33" i="1"/>
  <c r="K33" i="1"/>
  <c r="L33" i="1"/>
  <c r="M33" i="1"/>
  <c r="N33" i="1"/>
  <c r="F34" i="1"/>
  <c r="G34" i="1"/>
  <c r="H34" i="1"/>
  <c r="I34" i="1"/>
  <c r="J34" i="1"/>
  <c r="K34" i="1"/>
  <c r="L34" i="1"/>
  <c r="N34" i="1" s="1"/>
  <c r="M34" i="1"/>
  <c r="F35" i="1"/>
  <c r="G35" i="1"/>
  <c r="H35" i="1"/>
  <c r="I35" i="1"/>
  <c r="J35" i="1"/>
  <c r="K35" i="1"/>
  <c r="L35" i="1"/>
  <c r="N35" i="1" s="1"/>
  <c r="M35" i="1"/>
  <c r="F36" i="1"/>
  <c r="G36" i="1"/>
  <c r="H36" i="1"/>
  <c r="I36" i="1"/>
  <c r="J36" i="1"/>
  <c r="K36" i="1"/>
  <c r="L36" i="1"/>
  <c r="N36" i="1" s="1"/>
  <c r="M36" i="1"/>
  <c r="F37" i="1"/>
  <c r="G37" i="1"/>
  <c r="H37" i="1"/>
  <c r="I37" i="1"/>
  <c r="J37" i="1"/>
  <c r="K37" i="1"/>
  <c r="L37" i="1"/>
  <c r="N37" i="1" s="1"/>
  <c r="M37" i="1"/>
  <c r="F38" i="1"/>
  <c r="G38" i="1"/>
  <c r="H38" i="1"/>
  <c r="I38" i="1"/>
  <c r="J38" i="1"/>
  <c r="K38" i="1"/>
  <c r="L38" i="1"/>
  <c r="N38" i="1" s="1"/>
  <c r="M38" i="1"/>
  <c r="F39" i="1"/>
  <c r="G39" i="1"/>
  <c r="H39" i="1"/>
  <c r="I39" i="1"/>
  <c r="J39" i="1"/>
  <c r="K39" i="1"/>
  <c r="L39" i="1"/>
  <c r="N39" i="1" s="1"/>
  <c r="M39" i="1"/>
  <c r="F40" i="1"/>
  <c r="G40" i="1"/>
  <c r="H40" i="1"/>
  <c r="I40" i="1"/>
  <c r="J40" i="1"/>
  <c r="K40" i="1"/>
  <c r="L40" i="1"/>
  <c r="N40" i="1" s="1"/>
  <c r="M40" i="1"/>
  <c r="D141" i="23"/>
  <c r="D9" i="23" s="1"/>
  <c r="B5" i="31"/>
  <c r="B4" i="31"/>
  <c r="B5" i="30"/>
  <c r="B4" i="30"/>
  <c r="B5" i="29"/>
  <c r="B4" i="29"/>
  <c r="B5" i="28"/>
  <c r="B4" i="28"/>
  <c r="B5" i="27"/>
  <c r="B4" i="27"/>
  <c r="B5" i="26"/>
  <c r="B4" i="26"/>
  <c r="B5" i="25"/>
  <c r="B4" i="25"/>
  <c r="B4" i="24"/>
  <c r="B5" i="24"/>
  <c r="B5" i="23"/>
  <c r="B4" i="23"/>
  <c r="B5" i="2"/>
  <c r="B4" i="2"/>
  <c r="D160" i="31"/>
  <c r="D141" i="31"/>
  <c r="D9" i="31" s="1"/>
  <c r="D122" i="31"/>
  <c r="D103" i="31"/>
  <c r="D84" i="31"/>
  <c r="D65" i="31"/>
  <c r="D46" i="31"/>
  <c r="D27" i="31"/>
  <c r="D160" i="30"/>
  <c r="D141" i="30"/>
  <c r="D9" i="30" s="1"/>
  <c r="D122" i="30"/>
  <c r="D103" i="30"/>
  <c r="D84" i="30"/>
  <c r="D65" i="30"/>
  <c r="D46" i="30"/>
  <c r="D27" i="30"/>
  <c r="D160" i="29"/>
  <c r="D141" i="29"/>
  <c r="D9" i="29" s="1"/>
  <c r="D122" i="29"/>
  <c r="D103" i="29"/>
  <c r="D84" i="29"/>
  <c r="D65" i="29"/>
  <c r="D46" i="29"/>
  <c r="D27" i="29"/>
  <c r="D160" i="28"/>
  <c r="D141" i="28"/>
  <c r="D9" i="28" s="1"/>
  <c r="D122" i="28"/>
  <c r="D103" i="28"/>
  <c r="D84" i="28"/>
  <c r="D65" i="28"/>
  <c r="D46" i="28"/>
  <c r="D27" i="28"/>
  <c r="D160" i="27"/>
  <c r="D141" i="27"/>
  <c r="D9" i="27" s="1"/>
  <c r="D122" i="27"/>
  <c r="D103" i="27"/>
  <c r="D84" i="27"/>
  <c r="D65" i="27"/>
  <c r="D46" i="27"/>
  <c r="D27" i="27"/>
  <c r="D160" i="26"/>
  <c r="D141" i="26"/>
  <c r="D9" i="26" s="1"/>
  <c r="D122" i="26"/>
  <c r="D103" i="26"/>
  <c r="D84" i="26"/>
  <c r="D65" i="26"/>
  <c r="D46" i="26"/>
  <c r="D27" i="26"/>
  <c r="D160" i="25"/>
  <c r="D141" i="25"/>
  <c r="D9" i="25" s="1"/>
  <c r="D122" i="25"/>
  <c r="D103" i="25"/>
  <c r="D84" i="25"/>
  <c r="D65" i="25"/>
  <c r="D46" i="25"/>
  <c r="D27" i="25"/>
  <c r="D160" i="24"/>
  <c r="D141" i="24"/>
  <c r="D9" i="24" s="1"/>
  <c r="D122" i="24"/>
  <c r="D103" i="24"/>
  <c r="D84" i="24"/>
  <c r="D65" i="24"/>
  <c r="D46" i="24"/>
  <c r="D27" i="24"/>
  <c r="D160" i="23"/>
  <c r="D122" i="23"/>
  <c r="D103" i="23"/>
  <c r="D84" i="23"/>
  <c r="D65" i="23"/>
  <c r="D46" i="23"/>
  <c r="D27" i="23"/>
  <c r="D27" i="2"/>
  <c r="D103" i="2"/>
  <c r="D84" i="2"/>
  <c r="D46" i="2"/>
  <c r="D65" i="2"/>
  <c r="D122" i="2"/>
  <c r="D141" i="2"/>
  <c r="D9" i="2" s="1"/>
  <c r="D160" i="2"/>
  <c r="D31" i="1"/>
  <c r="N31" i="1" l="1"/>
</calcChain>
</file>

<file path=xl/sharedStrings.xml><?xml version="1.0" encoding="utf-8"?>
<sst xmlns="http://schemas.openxmlformats.org/spreadsheetml/2006/main" count="7842" uniqueCount="201">
  <si>
    <t>GRANTEE INFORMATION</t>
  </si>
  <si>
    <t>Contact Person for Report:</t>
  </si>
  <si>
    <t>Phone Number:</t>
  </si>
  <si>
    <t>Email:</t>
  </si>
  <si>
    <t>Time Period:</t>
  </si>
  <si>
    <t>to</t>
  </si>
  <si>
    <t>CERTIFICATION</t>
  </si>
  <si>
    <t>Certified Financial Officer Signature</t>
  </si>
  <si>
    <t>Date</t>
  </si>
  <si>
    <t>City/Town</t>
  </si>
  <si>
    <t>Zip + 4</t>
  </si>
  <si>
    <t>Demolition</t>
  </si>
  <si>
    <t>Property Address</t>
  </si>
  <si>
    <t>Pin #</t>
  </si>
  <si>
    <t>Select one:</t>
  </si>
  <si>
    <t>Total Number of Properties Submitted:</t>
  </si>
  <si>
    <t>Total Requested Reimbursement Amount:</t>
  </si>
  <si>
    <t>QUARTERLY SUBMISSION INFORMATION</t>
  </si>
  <si>
    <t>Total Requested              Loan Amount</t>
  </si>
  <si>
    <t>Property Address:</t>
  </si>
  <si>
    <t>Pin #:</t>
  </si>
  <si>
    <t>Expense</t>
  </si>
  <si>
    <t>Description</t>
  </si>
  <si>
    <t>Label Name</t>
  </si>
  <si>
    <t>Individual Property Expense Report</t>
  </si>
  <si>
    <t>Amount</t>
  </si>
  <si>
    <t>Demolition Costs</t>
  </si>
  <si>
    <t>Total demolition costs:</t>
  </si>
  <si>
    <t>First Review</t>
  </si>
  <si>
    <t>Second Review</t>
  </si>
  <si>
    <t>Comments</t>
  </si>
  <si>
    <t>Total Final Cost:</t>
  </si>
  <si>
    <t>INTERNAL USE ONLY: DO NOT WRITE IN THIS SECTION</t>
  </si>
  <si>
    <t>General comments:</t>
  </si>
  <si>
    <t>(i.e. number of apartments, duplex is 2 units, etc.)</t>
  </si>
  <si>
    <t>Property #</t>
  </si>
  <si>
    <t>Number of Confirmed Units:</t>
  </si>
  <si>
    <t>Nothing to report this quarter</t>
  </si>
  <si>
    <t>PROPERTY LISTING TABLE</t>
  </si>
  <si>
    <t>Abandoned Residential Property Municipality Relief Program (APP)</t>
  </si>
  <si>
    <t>Quarterly Accounting of Grant Expenses &amp; Reimbursement Request Form</t>
  </si>
  <si>
    <t>Grantee Name:</t>
  </si>
  <si>
    <t>Expenses submitted for reimbursement</t>
  </si>
  <si>
    <t>Authorized Grantee Signature</t>
  </si>
  <si>
    <t>Rehabilitation</t>
  </si>
  <si>
    <t>Boarding/ closing off/ locking windows or entrances</t>
  </si>
  <si>
    <t>Surrounding property with a fence/ wall</t>
  </si>
  <si>
    <t>Pest extermination/ prevention</t>
  </si>
  <si>
    <t>Garbage/ debris/graffiti removal</t>
  </si>
  <si>
    <t>Tree or bush trimming and removal</t>
  </si>
  <si>
    <t>Cutting grass/ neglected weeds</t>
  </si>
  <si>
    <t>Cutting Grass/Neglected Weeds Costs</t>
  </si>
  <si>
    <t>Tree or Bush Trimming and Removal</t>
  </si>
  <si>
    <t>Total cutting grass/neglected weeds costs:</t>
  </si>
  <si>
    <t>Total tree or bush trimming and removal costs:</t>
  </si>
  <si>
    <t>Pest Extermination/Prevention</t>
  </si>
  <si>
    <t>Total pest extermination/prevention costs:</t>
  </si>
  <si>
    <t>Garbage/Debris/Grafitti Removal</t>
  </si>
  <si>
    <t>Total garbage/debris/grafitti costs:</t>
  </si>
  <si>
    <t>Boarding/Closing Off/Locking Windows or Entrances Costs</t>
  </si>
  <si>
    <t>Boarding/Closing Off/Locking Windows or Entrances</t>
  </si>
  <si>
    <t>Total boarding/closing off/locking windows or entrances costs:</t>
  </si>
  <si>
    <t>Surrounding Property with a Fence/Wall</t>
  </si>
  <si>
    <t>Total surrounding property with a fence/wall costs:</t>
  </si>
  <si>
    <t>Rehabilitation Costs</t>
  </si>
  <si>
    <t>Total rehabilitation costs:</t>
  </si>
  <si>
    <t>Cutting Grass/Neglected Weeds</t>
  </si>
  <si>
    <t>Tree or Bush Trimming and Removal Costs</t>
  </si>
  <si>
    <t>Pest Extermination/Prevention Costs</t>
  </si>
  <si>
    <t>Garbage/Debris/Grafitti Removal Costs</t>
  </si>
  <si>
    <t>Surrounding Property with a Fence/Wall Costs</t>
  </si>
  <si>
    <r>
      <t xml:space="preserve">Complete this report by clearly itemizing all expenses specifically associated with your Abandoned Property Program Agreement. You must complete all columns for each expense listed; list descriptions of individual activities in the </t>
    </r>
    <r>
      <rPr>
        <b/>
        <sz val="9"/>
        <rFont val="Calibri"/>
        <family val="2"/>
        <scheme val="minor"/>
      </rPr>
      <t>Description</t>
    </r>
    <r>
      <rPr>
        <sz val="9"/>
        <rFont val="Calibri"/>
        <family val="2"/>
        <scheme val="minor"/>
      </rPr>
      <t xml:space="preserve"> column. Every item provided must be labeled and clearly identified in the</t>
    </r>
    <r>
      <rPr>
        <b/>
        <sz val="9"/>
        <rFont val="Calibri"/>
        <family val="2"/>
        <scheme val="minor"/>
      </rPr>
      <t xml:space="preserve"> Label Name</t>
    </r>
    <r>
      <rPr>
        <sz val="9"/>
        <rFont val="Calibri"/>
        <family val="2"/>
        <scheme val="minor"/>
      </rPr>
      <t xml:space="preserve"> column.</t>
    </r>
  </si>
  <si>
    <r>
      <t>Complete this report (</t>
    </r>
    <r>
      <rPr>
        <b/>
        <sz val="11"/>
        <rFont val="Calibri"/>
        <family val="2"/>
        <scheme val="minor"/>
      </rPr>
      <t>including all applicable property tabs</t>
    </r>
    <r>
      <rPr>
        <sz val="11"/>
        <rFont val="Calibri"/>
        <family val="2"/>
        <scheme val="minor"/>
      </rPr>
      <t xml:space="preserve">) for your Abandoned Property Program reimbursements by inputting information in all applicable gray and white boxes. Complete one PDF per property, organized in the same order that they appear on the summary sheet, listing one line item for each cost/activity. All documents shall be submitted electronically to </t>
    </r>
    <r>
      <rPr>
        <b/>
        <sz val="11"/>
        <rFont val="Calibri"/>
        <family val="2"/>
        <scheme val="minor"/>
      </rPr>
      <t>appinfo@ihda.org</t>
    </r>
    <r>
      <rPr>
        <sz val="11"/>
        <rFont val="Calibri"/>
        <family val="2"/>
        <scheme val="minor"/>
      </rPr>
      <t>. Sign and certify below.</t>
    </r>
  </si>
  <si>
    <t>The undersigned certifies that the information contained herein is true and accurate and the itemized expenses included are related to Eligible Uses under the Abandoned Property Program. The undersigned further certifies that all books, records, and supporting documents in relation to the itemized expenses listed herein are maintained at the office of the undersigned and are available for inspection by the Illinois Housing Development Authority, the Illinois Attorney General, the Illinois Auditor General, or any of their designated representatives, and as otherwise required by applicable state law.</t>
  </si>
  <si>
    <t xml:space="preserve">CHICAGO IL     </t>
  </si>
  <si>
    <t>CHICAGO IL</t>
  </si>
  <si>
    <t xml:space="preserve">CHICAGO IL </t>
  </si>
  <si>
    <t xml:space="preserve"> CHICAGO IL</t>
  </si>
  <si>
    <t xml:space="preserve"> CHICAGO IL </t>
  </si>
  <si>
    <t>60628-</t>
  </si>
  <si>
    <t xml:space="preserve">CHICAGO IL  </t>
  </si>
  <si>
    <t>60636-</t>
  </si>
  <si>
    <t>126 E 118TH PL</t>
  </si>
  <si>
    <t>126 W 109TH PL</t>
  </si>
  <si>
    <t>12721 S MORGAN ST</t>
  </si>
  <si>
    <t>1274 W 71ST PL</t>
  </si>
  <si>
    <t>1300 S SPRINGFIELD AVE</t>
  </si>
  <si>
    <t>1302 W 103RD ST</t>
  </si>
  <si>
    <t>1254 W 61ST ST</t>
  </si>
  <si>
    <t>60643-</t>
  </si>
  <si>
    <t>60623-</t>
  </si>
  <si>
    <t>1309 S CHRISTIANA AVE</t>
  </si>
  <si>
    <t>131 E 103RD PL</t>
  </si>
  <si>
    <t>131 W 114TH ST</t>
  </si>
  <si>
    <t>1327 W 49TH PL</t>
  </si>
  <si>
    <t>1330 S CHRISTIANA AVE</t>
  </si>
  <si>
    <t>1331 W 111TH ST</t>
  </si>
  <si>
    <t>133 N KARLOV AVE</t>
  </si>
  <si>
    <t>134 E 118TH PL</t>
  </si>
  <si>
    <t>135 E 118TH AVE</t>
  </si>
  <si>
    <t>1418 S KEDVALE AVE</t>
  </si>
  <si>
    <t>1421 W 73RD PL</t>
  </si>
  <si>
    <t>1422 N LOCKWOOD AVE</t>
  </si>
  <si>
    <t>1422 S RIDGEWAY AVE</t>
  </si>
  <si>
    <t>1426 W 73RD PL</t>
  </si>
  <si>
    <t>1429 S KARLOV AVE</t>
  </si>
  <si>
    <t>142 W 110TH ST</t>
  </si>
  <si>
    <t>143 E 117TH PL</t>
  </si>
  <si>
    <t>1442 S PULASKI RD</t>
  </si>
  <si>
    <t>1446 W MARQUETTE RD</t>
  </si>
  <si>
    <t>1454 W 61ST ST</t>
  </si>
  <si>
    <t>1519 S DRAKE AVE</t>
  </si>
  <si>
    <t>1524 S SPRINGFIELD AVE</t>
  </si>
  <si>
    <t>1524 W 79TH ST</t>
  </si>
  <si>
    <t>1543 W 61ST ST</t>
  </si>
  <si>
    <t>1839 S AVERS AVE</t>
  </si>
  <si>
    <t>1845 S SPAULDING AVE</t>
  </si>
  <si>
    <t>18 W 114TH PL</t>
  </si>
  <si>
    <t>2017 W MARQUETTE RD</t>
  </si>
  <si>
    <t>1949 W 68TH ST</t>
  </si>
  <si>
    <t>2017 68TH PL</t>
  </si>
  <si>
    <t>60609-</t>
  </si>
  <si>
    <t>60624-</t>
  </si>
  <si>
    <t>60651-</t>
  </si>
  <si>
    <t>60620-</t>
  </si>
  <si>
    <t>2018 W 68TH PL</t>
  </si>
  <si>
    <t>2022 W 68TH PL</t>
  </si>
  <si>
    <t>2036 W 21ST PL</t>
  </si>
  <si>
    <t>2040 W 70TH ST</t>
  </si>
  <si>
    <t>2042 W 68TH PL</t>
  </si>
  <si>
    <t>2045 W MARQUETTE RD</t>
  </si>
  <si>
    <t>2050 W 68TH PL</t>
  </si>
  <si>
    <t>2050 W SUPERIOR</t>
  </si>
  <si>
    <t>20 E 117TH ST</t>
  </si>
  <si>
    <t>2132 S ALBANY AVE</t>
  </si>
  <si>
    <t>218 S KILPATRICK AVE</t>
  </si>
  <si>
    <t>2217 W 50TH PL</t>
  </si>
  <si>
    <t>2274 S BLUE ISLAND AVE</t>
  </si>
  <si>
    <t>2276 S BLUE ISLAND AVE</t>
  </si>
  <si>
    <t>228 W 113TH ST</t>
  </si>
  <si>
    <t>229 109TH ST</t>
  </si>
  <si>
    <t>2322 S KOSTNER AVE</t>
  </si>
  <si>
    <t>236 W 113TH ST</t>
  </si>
  <si>
    <t>2410 S SPAULDING AVE</t>
  </si>
  <si>
    <t>2413 S SPAULDING AVE</t>
  </si>
  <si>
    <t>244 W 113TH ST</t>
  </si>
  <si>
    <t>254 W 118TH ST</t>
  </si>
  <si>
    <t>2025 W 68TH PL</t>
  </si>
  <si>
    <t>60608-</t>
  </si>
  <si>
    <t>60612-</t>
  </si>
  <si>
    <t>60644-</t>
  </si>
  <si>
    <t>2553 W HUTCHINSON ST</t>
  </si>
  <si>
    <t>259 W 105TH ST</t>
  </si>
  <si>
    <t>25 N LOCKWOOD AVE</t>
  </si>
  <si>
    <t>2617 W LITHUANIAN PLAZA</t>
  </si>
  <si>
    <t>2629 W HOMER ST</t>
  </si>
  <si>
    <t>262 W 105TH ST</t>
  </si>
  <si>
    <t>2951 W 59TH ST</t>
  </si>
  <si>
    <t>2801 E 77TH PL</t>
  </si>
  <si>
    <t>2828 W WILCOX ST</t>
  </si>
  <si>
    <t>2830 W FILLMORE ST</t>
  </si>
  <si>
    <t>2848 W FILLMORE ST</t>
  </si>
  <si>
    <t>2939 W WILCOX ST</t>
  </si>
  <si>
    <t>3025 W FIFTH AVE</t>
  </si>
  <si>
    <t>303 E 119TH ST</t>
  </si>
  <si>
    <t>304 105TH ST</t>
  </si>
  <si>
    <t>3114 W FILLMORE ST</t>
  </si>
  <si>
    <t>3122 W TAYLOR ST</t>
  </si>
  <si>
    <t>312 W 112TH PL</t>
  </si>
  <si>
    <t>314 W 115TH ST</t>
  </si>
  <si>
    <t>319 W 116TH ST</t>
  </si>
  <si>
    <t>327 W 104TH ST</t>
  </si>
  <si>
    <t>339 W 110TH ST</t>
  </si>
  <si>
    <t>3410 W OGDEN AVE</t>
  </si>
  <si>
    <t>34 E 123RD ST</t>
  </si>
  <si>
    <t>35 W 111TH PL</t>
  </si>
  <si>
    <t>3605 W HARRISON ST</t>
  </si>
  <si>
    <t>3744 S MICHIGAN AVE</t>
  </si>
  <si>
    <t>3817 W FILLMORE ST</t>
  </si>
  <si>
    <t>3818 W JACKSON BLVD</t>
  </si>
  <si>
    <t>3838 W JACKSON BLVD</t>
  </si>
  <si>
    <t>3916 W LEXINGTON BLVD</t>
  </si>
  <si>
    <t>3919 W GRENSHAW ST</t>
  </si>
  <si>
    <t>3934 W ARMITAGE AVE</t>
  </si>
  <si>
    <t>4006 W JACKSON BLVD</t>
  </si>
  <si>
    <t>4011 W JACKSON BLVD</t>
  </si>
  <si>
    <t>4030 W ADAMS ST</t>
  </si>
  <si>
    <t>4037 W ADAMS ST</t>
  </si>
  <si>
    <t>60647-</t>
  </si>
  <si>
    <t>60618-</t>
  </si>
  <si>
    <t>60629-</t>
  </si>
  <si>
    <t>60649-</t>
  </si>
  <si>
    <t>60653-</t>
  </si>
  <si>
    <t>1431 S KENNETH AVE</t>
  </si>
  <si>
    <t>2030 W 68TH ST</t>
  </si>
  <si>
    <t>16-22-219-024-0000</t>
  </si>
  <si>
    <t>25-16-206-106-0000</t>
  </si>
  <si>
    <t>25-16-206-109-0000</t>
  </si>
  <si>
    <t>25-16-210-022-0000</t>
  </si>
  <si>
    <t>25-15-109-015-0000</t>
  </si>
  <si>
    <t>135 E 103RD PL</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</si>
</sst>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_(&quot;$&quot;* \(#,##0.00\);_(&quot;$&quot;* &quot;-&quot;??_);_(@_)"/>
    <numFmt numFmtId="164" formatCode="[&lt;=9999999]###\-####;\(###\)\ ###\-####"/>
    <numFmt numFmtId="165" formatCode="00000\-0000"/>
    <numFmt numFmtId="166" formatCode="&quot;$&quot;#,##0.00"/>
  </numFmts>
  <fonts count="36" x14ac:knownFonts="1">
    <font>
      <sz val="11"/>
      <color theme="1"/>
      <name val="Calibri"/>
      <family val="2"/>
      <scheme val="minor"/>
    </font>
    <font>
      <sz val="11"/>
      <color theme="1"/>
      <name val="Calibri"/>
      <family val="2"/>
      <scheme val="minor"/>
    </font>
    <font>
      <sz val="18"/>
      <color theme="3"/>
      <name val="Calibri Light"/>
      <family val="2"/>
      <scheme val="major"/>
    </font>
    <font>
      <b/>
      <sz val="11"/>
      <color theme="0"/>
      <name val="Calibri"/>
      <family val="2"/>
      <scheme val="minor"/>
    </font>
    <font>
      <b/>
      <sz val="11"/>
      <color theme="1"/>
      <name val="Calibri"/>
      <family val="2"/>
      <scheme val="minor"/>
    </font>
    <font>
      <sz val="11"/>
      <color theme="0"/>
      <name val="Calibri"/>
      <family val="2"/>
      <scheme val="minor"/>
    </font>
    <font>
      <sz val="12"/>
      <name val="Arial"/>
      <family val="2"/>
    </font>
    <font>
      <b/>
      <sz val="12"/>
      <name val="Calibri"/>
      <family val="2"/>
      <scheme val="minor"/>
    </font>
    <font>
      <sz val="12"/>
      <name val="Calibri"/>
      <family val="2"/>
      <scheme val="minor"/>
    </font>
    <font>
      <sz val="12"/>
      <color theme="1"/>
      <name val="Calibri"/>
      <family val="2"/>
      <scheme val="minor"/>
    </font>
    <font>
      <b/>
      <sz val="12"/>
      <color theme="1"/>
      <name val="Calibri"/>
      <family val="2"/>
      <scheme val="minor"/>
    </font>
    <font>
      <sz val="10"/>
      <name val="Arial"/>
      <family val="2"/>
    </font>
    <font>
      <i/>
      <sz val="10"/>
      <name val="Arial"/>
      <family val="2"/>
    </font>
    <font>
      <b/>
      <sz val="11"/>
      <name val="Calibri"/>
      <family val="2"/>
      <scheme val="minor"/>
    </font>
    <font>
      <sz val="11"/>
      <name val="Calibri"/>
      <family val="2"/>
      <scheme val="minor"/>
    </font>
    <font>
      <i/>
      <sz val="10"/>
      <name val="Calibri"/>
      <family val="2"/>
      <scheme val="minor"/>
    </font>
    <font>
      <b/>
      <sz val="16"/>
      <name val="Calibri"/>
      <family val="2"/>
      <scheme val="minor"/>
    </font>
    <font>
      <b/>
      <sz val="20"/>
      <name val="Calibri"/>
      <family val="2"/>
      <scheme val="minor"/>
    </font>
    <font>
      <sz val="9"/>
      <name val="Calibri"/>
      <family val="2"/>
      <scheme val="minor"/>
    </font>
    <font>
      <b/>
      <sz val="9"/>
      <name val="Calibri"/>
      <family val="2"/>
      <scheme val="minor"/>
    </font>
    <font>
      <i/>
      <sz val="9"/>
      <name val="Calibri"/>
      <family val="2"/>
      <scheme val="minor"/>
    </font>
    <font>
      <b/>
      <sz val="10"/>
      <color indexed="9"/>
      <name val="Calibri"/>
      <family val="2"/>
      <scheme val="minor"/>
    </font>
    <font>
      <b/>
      <i/>
      <sz val="9"/>
      <name val="Calibri"/>
      <family val="2"/>
      <scheme val="minor"/>
    </font>
    <font>
      <i/>
      <sz val="11"/>
      <color theme="1"/>
      <name val="Calibri"/>
      <family val="2"/>
      <scheme val="minor"/>
    </font>
    <font>
      <i/>
      <sz val="8"/>
      <color theme="1"/>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13"/>
      <name val="Calibri"/>
      <family val="2"/>
      <scheme val="minor"/>
    </font>
    <font>
      <b/>
      <i/>
      <sz val="11"/>
      <color theme="1"/>
      <name val="Calibri"/>
      <family val="2"/>
      <scheme val="minor"/>
    </font>
    <font>
      <sz val="9"/>
      <color theme="0"/>
      <name val="Calibri"/>
      <family val="2"/>
      <scheme val="minor"/>
    </font>
    <font>
      <b/>
      <sz val="10"/>
      <name val="Calibri"/>
      <family val="2"/>
      <scheme val="minor"/>
    </font>
    <font>
      <b/>
      <sz val="16"/>
      <color theme="0"/>
      <name val="Calibri"/>
      <family val="2"/>
      <scheme val="minor"/>
    </font>
    <font>
      <b/>
      <i/>
      <sz val="10"/>
      <color theme="1"/>
      <name val="Calibri"/>
      <family val="2"/>
      <scheme val="minor"/>
    </font>
    <font>
      <i/>
      <sz val="8"/>
      <name val="Calibri"/>
      <family val="2"/>
      <scheme val="minor"/>
    </font>
    <font>
      <sz val="9"/>
      <color indexed="8"/>
      <name val="Arial"/>
      <family val="2"/>
    </font>
  </fonts>
  <fills count="17">
    <fill>
      <patternFill patternType="none"/>
    </fill>
    <fill>
      <patternFill patternType="gray125"/>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1" tint="0.249977111117893"/>
        <bgColor indexed="64"/>
      </patternFill>
    </fill>
    <fill>
      <patternFill patternType="solid">
        <fgColor theme="0"/>
        <bgColor indexed="24"/>
      </patternFill>
    </fill>
    <fill>
      <patternFill patternType="solid">
        <fgColor theme="0" tint="-4.9989318521683403E-2"/>
        <bgColor indexed="64"/>
      </patternFill>
    </fill>
    <fill>
      <patternFill patternType="solid">
        <fgColor theme="8"/>
      </patternFill>
    </fill>
    <fill>
      <patternFill patternType="solid">
        <fgColor rgb="FFE6D4F8"/>
        <bgColor indexed="64"/>
      </patternFill>
    </fill>
    <fill>
      <patternFill patternType="solid">
        <fgColor rgb="FFF3EAFC"/>
        <bgColor indexed="64"/>
      </patternFill>
    </fill>
    <fill>
      <patternFill patternType="solid">
        <fgColor rgb="FFA566E4"/>
        <bgColor indexed="64"/>
      </patternFill>
    </fill>
    <fill>
      <patternFill patternType="solid">
        <fgColor rgb="FFE0CAF6"/>
        <bgColor indexed="64"/>
      </patternFill>
    </fill>
    <fill>
      <patternFill patternType="solid">
        <fgColor indexed="9"/>
        <bgColor indexed="9"/>
      </patternFill>
    </fill>
  </fills>
  <borders count="18">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31"/>
      </left>
      <right style="thin">
        <color indexed="31"/>
      </right>
      <top style="thin">
        <color indexed="31"/>
      </top>
      <bottom style="thin">
        <color indexed="31"/>
      </bottom>
      <diagonal/>
    </border>
  </borders>
  <cellStyleXfs count="12">
    <xf numFmtId="0" fontId="0" fillId="0" borderId="0"/>
    <xf numFmtId="0" fontId="2" fillId="0" borderId="0" applyNumberFormat="0" applyFill="0" applyBorder="0" applyAlignment="0" applyProtection="0"/>
    <xf numFmtId="0" fontId="5"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5"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6" fillId="0" borderId="0"/>
    <xf numFmtId="0" fontId="6" fillId="0" borderId="0"/>
    <xf numFmtId="0" fontId="11" fillId="0" borderId="0"/>
    <xf numFmtId="0" fontId="5" fillId="11" borderId="0" applyNumberFormat="0" applyBorder="0" applyAlignment="0" applyProtection="0"/>
  </cellStyleXfs>
  <cellXfs count="199">
    <xf numFmtId="0" fontId="0" fillId="0" borderId="0" xfId="0"/>
    <xf numFmtId="0" fontId="16" fillId="0" borderId="0" xfId="10" applyFont="1" applyFill="1" applyBorder="1" applyAlignment="1" applyProtection="1">
      <alignment vertical="center"/>
      <protection hidden="1"/>
    </xf>
    <xf numFmtId="0" fontId="16" fillId="0" borderId="0" xfId="10" applyFont="1" applyFill="1" applyBorder="1" applyAlignment="1" applyProtection="1">
      <alignment horizontal="center" vertical="center"/>
      <protection hidden="1"/>
    </xf>
    <xf numFmtId="0" fontId="1" fillId="0" borderId="0" xfId="0" applyFont="1" applyProtection="1">
      <protection hidden="1"/>
    </xf>
    <xf numFmtId="0" fontId="18" fillId="9" borderId="0" xfId="10" applyFont="1" applyFill="1" applyBorder="1" applyAlignment="1" applyProtection="1">
      <alignment vertical="center" wrapText="1"/>
      <protection hidden="1"/>
    </xf>
    <xf numFmtId="0" fontId="18" fillId="9" borderId="0" xfId="10" applyFont="1" applyFill="1" applyBorder="1" applyAlignment="1" applyProtection="1">
      <alignment vertical="center"/>
      <protection hidden="1"/>
    </xf>
    <xf numFmtId="0" fontId="20" fillId="9" borderId="0" xfId="10" applyFont="1" applyFill="1" applyBorder="1" applyAlignment="1" applyProtection="1">
      <alignment horizontal="left" vertical="center" wrapText="1"/>
      <protection hidden="1"/>
    </xf>
    <xf numFmtId="0" fontId="1" fillId="0" borderId="0" xfId="0" applyFont="1" applyBorder="1" applyProtection="1">
      <protection hidden="1"/>
    </xf>
    <xf numFmtId="0" fontId="25" fillId="0" borderId="0" xfId="0" applyFont="1" applyAlignment="1" applyProtection="1">
      <alignment horizontal="center" vertical="center"/>
      <protection hidden="1"/>
    </xf>
    <xf numFmtId="0" fontId="25" fillId="0" borderId="0" xfId="0" applyFont="1" applyAlignment="1" applyProtection="1">
      <alignment vertical="center"/>
      <protection hidden="1"/>
    </xf>
    <xf numFmtId="0" fontId="21" fillId="0" borderId="0" xfId="10" applyFont="1" applyFill="1" applyBorder="1" applyAlignment="1" applyProtection="1">
      <alignment horizontal="center" wrapText="1"/>
      <protection hidden="1"/>
    </xf>
    <xf numFmtId="0" fontId="24" fillId="0" borderId="0" xfId="0" applyFont="1" applyBorder="1" applyAlignment="1" applyProtection="1">
      <alignment horizontal="center"/>
      <protection hidden="1"/>
    </xf>
    <xf numFmtId="0" fontId="3" fillId="8" borderId="7" xfId="5" applyFont="1" applyFill="1" applyBorder="1" applyAlignment="1" applyProtection="1">
      <alignment horizontal="center" vertical="center" wrapText="1"/>
      <protection hidden="1"/>
    </xf>
    <xf numFmtId="44" fontId="4" fillId="3" borderId="8" xfId="3" applyNumberFormat="1" applyFont="1" applyBorder="1" applyAlignment="1" applyProtection="1">
      <alignment horizontal="center" vertical="center" wrapText="1"/>
      <protection hidden="1"/>
    </xf>
    <xf numFmtId="0" fontId="1" fillId="0" borderId="0" xfId="0" applyFont="1" applyFill="1" applyProtection="1">
      <protection hidden="1"/>
    </xf>
    <xf numFmtId="0" fontId="26" fillId="10" borderId="7" xfId="4" applyFont="1" applyFill="1" applyBorder="1" applyAlignment="1" applyProtection="1">
      <alignment horizontal="center" vertical="center"/>
      <protection hidden="1"/>
    </xf>
    <xf numFmtId="0" fontId="1" fillId="0" borderId="0" xfId="0" applyFont="1" applyFill="1" applyBorder="1" applyProtection="1">
      <protection hidden="1"/>
    </xf>
    <xf numFmtId="0" fontId="28" fillId="0" borderId="0" xfId="0" applyFont="1" applyAlignment="1" applyProtection="1">
      <alignment vertical="center"/>
      <protection hidden="1"/>
    </xf>
    <xf numFmtId="0" fontId="28" fillId="0" borderId="0" xfId="10" applyFont="1" applyFill="1" applyBorder="1" applyAlignment="1" applyProtection="1">
      <alignment vertical="center" wrapText="1"/>
      <protection hidden="1"/>
    </xf>
    <xf numFmtId="166" fontId="28" fillId="0" borderId="0" xfId="10" applyNumberFormat="1" applyFont="1" applyFill="1" applyBorder="1" applyAlignment="1" applyProtection="1">
      <alignment horizontal="right" vertical="center" wrapText="1"/>
      <protection hidden="1"/>
    </xf>
    <xf numFmtId="0" fontId="28" fillId="0" borderId="0" xfId="0" applyFont="1" applyFill="1" applyBorder="1" applyAlignment="1" applyProtection="1">
      <alignment vertical="center"/>
      <protection hidden="1"/>
    </xf>
    <xf numFmtId="0" fontId="30" fillId="8" borderId="13" xfId="7" applyFont="1" applyFill="1" applyBorder="1" applyAlignment="1" applyProtection="1">
      <alignment horizontal="center" wrapText="1"/>
      <protection hidden="1"/>
    </xf>
    <xf numFmtId="0" fontId="30" fillId="8" borderId="1" xfId="7" applyFont="1" applyFill="1" applyBorder="1" applyAlignment="1" applyProtection="1">
      <alignment horizontal="center" wrapText="1"/>
      <protection hidden="1"/>
    </xf>
    <xf numFmtId="0" fontId="30" fillId="8" borderId="14" xfId="7" applyFont="1" applyFill="1" applyBorder="1" applyAlignment="1" applyProtection="1">
      <alignment horizontal="center" wrapText="1"/>
      <protection hidden="1"/>
    </xf>
    <xf numFmtId="0" fontId="27" fillId="0" borderId="0" xfId="0" applyFont="1" applyAlignment="1" applyProtection="1">
      <alignment horizontal="center"/>
      <protection hidden="1"/>
    </xf>
    <xf numFmtId="0" fontId="18" fillId="0" borderId="5" xfId="10" applyFont="1" applyFill="1" applyBorder="1" applyAlignment="1" applyProtection="1">
      <alignment horizontal="center" wrapText="1"/>
      <protection hidden="1"/>
    </xf>
    <xf numFmtId="0" fontId="18" fillId="0" borderId="0" xfId="10" applyFont="1" applyFill="1" applyBorder="1" applyAlignment="1" applyProtection="1">
      <alignment horizontal="center" wrapText="1"/>
      <protection hidden="1"/>
    </xf>
    <xf numFmtId="166" fontId="18" fillId="0" borderId="0" xfId="10" applyNumberFormat="1" applyFont="1" applyFill="1" applyBorder="1" applyAlignment="1" applyProtection="1">
      <alignment horizontal="center" wrapText="1"/>
      <protection hidden="1"/>
    </xf>
    <xf numFmtId="0" fontId="27" fillId="0" borderId="0" xfId="0" applyFont="1" applyFill="1" applyBorder="1" applyAlignment="1" applyProtection="1">
      <alignment horizontal="center"/>
      <protection hidden="1"/>
    </xf>
    <xf numFmtId="0" fontId="18" fillId="0" borderId="0" xfId="10" applyFont="1" applyFill="1" applyBorder="1" applyAlignment="1" applyProtection="1">
      <alignment wrapText="1"/>
      <protection hidden="1"/>
    </xf>
    <xf numFmtId="166" fontId="18" fillId="0" borderId="0" xfId="10" applyNumberFormat="1" applyFont="1" applyFill="1" applyBorder="1" applyAlignment="1" applyProtection="1">
      <alignment horizontal="right" wrapText="1"/>
      <protection hidden="1"/>
    </xf>
    <xf numFmtId="0" fontId="22" fillId="0" borderId="0" xfId="10" applyFont="1" applyFill="1" applyBorder="1" applyAlignment="1" applyProtection="1">
      <alignment vertical="center" wrapText="1"/>
      <protection hidden="1"/>
    </xf>
    <xf numFmtId="166" fontId="22" fillId="0" borderId="0" xfId="10" applyNumberFormat="1" applyFont="1" applyFill="1" applyBorder="1" applyAlignment="1" applyProtection="1">
      <alignment horizontal="right" wrapText="1"/>
      <protection hidden="1"/>
    </xf>
    <xf numFmtId="0" fontId="7" fillId="0" borderId="0" xfId="10" applyFont="1" applyFill="1" applyBorder="1" applyAlignment="1" applyProtection="1">
      <alignment vertical="center" wrapText="1"/>
      <protection hidden="1"/>
    </xf>
    <xf numFmtId="0" fontId="23" fillId="0" borderId="0" xfId="0" applyFont="1" applyProtection="1">
      <protection hidden="1"/>
    </xf>
    <xf numFmtId="0" fontId="20" fillId="0" borderId="0" xfId="10" applyFont="1" applyFill="1" applyBorder="1" applyAlignment="1" applyProtection="1">
      <alignment wrapText="1"/>
      <protection hidden="1"/>
    </xf>
    <xf numFmtId="166" fontId="20" fillId="0" borderId="0" xfId="10" applyNumberFormat="1" applyFont="1" applyFill="1" applyBorder="1" applyAlignment="1" applyProtection="1">
      <alignment horizontal="right" wrapText="1"/>
      <protection hidden="1"/>
    </xf>
    <xf numFmtId="0" fontId="23" fillId="0" borderId="0" xfId="0" applyFont="1" applyFill="1" applyBorder="1" applyProtection="1">
      <protection hidden="1"/>
    </xf>
    <xf numFmtId="0" fontId="29" fillId="0" borderId="0" xfId="7" applyFont="1" applyFill="1" applyBorder="1" applyAlignment="1" applyProtection="1">
      <alignment horizontal="right"/>
      <protection hidden="1"/>
    </xf>
    <xf numFmtId="44" fontId="29" fillId="0" borderId="0" xfId="7" applyNumberFormat="1" applyFont="1" applyFill="1" applyBorder="1" applyProtection="1">
      <protection hidden="1"/>
    </xf>
    <xf numFmtId="0" fontId="23" fillId="0" borderId="0" xfId="0" applyFont="1" applyFill="1" applyProtection="1">
      <protection hidden="1"/>
    </xf>
    <xf numFmtId="0" fontId="27" fillId="0" borderId="0" xfId="0" applyFont="1" applyProtection="1">
      <protection hidden="1"/>
    </xf>
    <xf numFmtId="0" fontId="27" fillId="0" borderId="0" xfId="0" applyFont="1" applyFill="1" applyBorder="1" applyProtection="1">
      <protection hidden="1"/>
    </xf>
    <xf numFmtId="0" fontId="20" fillId="0" borderId="0" xfId="10" applyFont="1" applyFill="1" applyBorder="1" applyAlignment="1" applyProtection="1">
      <alignment horizontal="left" wrapText="1"/>
      <protection hidden="1"/>
    </xf>
    <xf numFmtId="0" fontId="28" fillId="0" borderId="0" xfId="10" applyFont="1" applyFill="1" applyBorder="1" applyAlignment="1" applyProtection="1">
      <alignment horizontal="left" vertical="center" wrapText="1"/>
      <protection hidden="1"/>
    </xf>
    <xf numFmtId="0" fontId="0" fillId="0" borderId="0" xfId="0" applyProtection="1">
      <protection hidden="1"/>
    </xf>
    <xf numFmtId="0" fontId="16" fillId="0" borderId="0" xfId="1" applyNumberFormat="1" applyFont="1" applyAlignment="1" applyProtection="1">
      <protection hidden="1"/>
    </xf>
    <xf numFmtId="0" fontId="17" fillId="0" borderId="0" xfId="1" applyFont="1" applyAlignment="1" applyProtection="1">
      <alignment horizontal="center"/>
      <protection hidden="1"/>
    </xf>
    <xf numFmtId="0" fontId="3" fillId="0" borderId="0" xfId="2" applyNumberFormat="1" applyFont="1" applyFill="1" applyBorder="1" applyAlignment="1" applyProtection="1">
      <alignment horizontal="left"/>
      <protection hidden="1"/>
    </xf>
    <xf numFmtId="0" fontId="0" fillId="0" borderId="0" xfId="0" applyFill="1" applyProtection="1">
      <protection hidden="1"/>
    </xf>
    <xf numFmtId="0" fontId="7" fillId="0" borderId="0" xfId="9" applyNumberFormat="1" applyFont="1" applyBorder="1" applyAlignment="1" applyProtection="1">
      <alignment horizontal="right"/>
      <protection hidden="1"/>
    </xf>
    <xf numFmtId="0" fontId="7" fillId="0" borderId="0" xfId="9" applyNumberFormat="1" applyFont="1" applyAlignment="1" applyProtection="1">
      <alignment horizontal="right"/>
      <protection hidden="1"/>
    </xf>
    <xf numFmtId="0" fontId="8" fillId="0" borderId="0" xfId="9" applyNumberFormat="1" applyFont="1" applyBorder="1" applyAlignment="1" applyProtection="1">
      <alignment horizontal="center" vertical="center"/>
      <protection hidden="1"/>
    </xf>
    <xf numFmtId="0" fontId="8" fillId="0" borderId="0" xfId="9" applyNumberFormat="1" applyFont="1" applyBorder="1" applyAlignment="1" applyProtection="1">
      <protection hidden="1"/>
    </xf>
    <xf numFmtId="0" fontId="9" fillId="0" borderId="0" xfId="0" applyFont="1" applyBorder="1" applyProtection="1">
      <protection hidden="1"/>
    </xf>
    <xf numFmtId="0" fontId="3" fillId="0" borderId="0" xfId="5" applyNumberFormat="1" applyFont="1" applyFill="1" applyBorder="1" applyAlignment="1" applyProtection="1">
      <alignment horizontal="center"/>
      <protection hidden="1"/>
    </xf>
    <xf numFmtId="0" fontId="14" fillId="0" borderId="0" xfId="8" applyNumberFormat="1" applyFont="1" applyFill="1" applyBorder="1" applyAlignment="1" applyProtection="1">
      <alignment horizontal="center" wrapText="1"/>
      <protection hidden="1"/>
    </xf>
    <xf numFmtId="0" fontId="7" fillId="0" borderId="0" xfId="8" applyNumberFormat="1" applyFont="1" applyBorder="1" applyAlignment="1" applyProtection="1">
      <protection hidden="1"/>
    </xf>
    <xf numFmtId="0" fontId="15" fillId="0" borderId="0" xfId="8" applyFont="1" applyBorder="1" applyAlignment="1" applyProtection="1">
      <protection hidden="1"/>
    </xf>
    <xf numFmtId="0" fontId="15" fillId="0" borderId="0" xfId="8" applyNumberFormat="1" applyFont="1" applyBorder="1" applyAlignment="1" applyProtection="1">
      <alignment horizontal="center"/>
      <protection hidden="1"/>
    </xf>
    <xf numFmtId="0" fontId="7" fillId="0" borderId="0" xfId="8" applyNumberFormat="1" applyFont="1" applyBorder="1" applyAlignment="1" applyProtection="1">
      <alignment horizontal="left"/>
      <protection hidden="1"/>
    </xf>
    <xf numFmtId="0" fontId="12" fillId="0" borderId="0" xfId="8" applyNumberFormat="1" applyFont="1" applyBorder="1" applyAlignment="1" applyProtection="1">
      <protection hidden="1"/>
    </xf>
    <xf numFmtId="0" fontId="12" fillId="0" borderId="0" xfId="8" applyFont="1" applyBorder="1" applyAlignment="1" applyProtection="1">
      <protection hidden="1"/>
    </xf>
    <xf numFmtId="0" fontId="12" fillId="0" borderId="0" xfId="8" applyNumberFormat="1" applyFont="1" applyBorder="1" applyAlignment="1" applyProtection="1">
      <alignment horizontal="center"/>
      <protection hidden="1"/>
    </xf>
    <xf numFmtId="0" fontId="7" fillId="0" borderId="0" xfId="2" applyNumberFormat="1" applyFont="1" applyFill="1" applyBorder="1" applyAlignment="1" applyProtection="1">
      <alignment horizontal="right"/>
      <protection hidden="1"/>
    </xf>
    <xf numFmtId="0" fontId="8" fillId="0" borderId="0" xfId="8" applyFont="1" applyBorder="1" applyAlignment="1" applyProtection="1">
      <protection hidden="1"/>
    </xf>
    <xf numFmtId="0" fontId="7" fillId="0" borderId="0" xfId="9" applyNumberFormat="1" applyFont="1" applyFill="1" applyAlignment="1" applyProtection="1">
      <alignment horizontal="right"/>
      <protection hidden="1"/>
    </xf>
    <xf numFmtId="14" fontId="1" fillId="0" borderId="0" xfId="3" applyNumberFormat="1" applyFill="1" applyBorder="1" applyAlignment="1" applyProtection="1">
      <alignment horizontal="left"/>
      <protection hidden="1"/>
    </xf>
    <xf numFmtId="0" fontId="7" fillId="0" borderId="0" xfId="9" applyNumberFormat="1" applyFont="1" applyFill="1" applyBorder="1" applyAlignment="1" applyProtection="1">
      <alignment horizontal="center" vertical="center"/>
      <protection hidden="1"/>
    </xf>
    <xf numFmtId="14" fontId="1" fillId="0" borderId="0" xfId="3" applyNumberFormat="1" applyFill="1" applyBorder="1" applyAlignment="1" applyProtection="1">
      <alignment horizontal="center"/>
      <protection hidden="1"/>
    </xf>
    <xf numFmtId="0" fontId="9" fillId="0" borderId="0" xfId="0" applyFont="1" applyProtection="1">
      <protection hidden="1"/>
    </xf>
    <xf numFmtId="0" fontId="13" fillId="0" borderId="0" xfId="2" applyNumberFormat="1" applyFont="1" applyFill="1" applyBorder="1" applyAlignment="1" applyProtection="1">
      <alignment horizontal="left"/>
      <protection hidden="1"/>
    </xf>
    <xf numFmtId="0" fontId="14" fillId="0" borderId="0" xfId="0" applyFont="1" applyFill="1" applyProtection="1">
      <protection hidden="1"/>
    </xf>
    <xf numFmtId="0" fontId="3" fillId="0" borderId="0" xfId="0" applyFont="1" applyAlignment="1" applyProtection="1">
      <alignment horizontal="center" vertical="center"/>
      <protection hidden="1"/>
    </xf>
    <xf numFmtId="0" fontId="0" fillId="0" borderId="0" xfId="0" applyAlignment="1" applyProtection="1">
      <alignment vertical="center"/>
      <protection hidden="1"/>
    </xf>
    <xf numFmtId="0" fontId="31" fillId="9" borderId="0" xfId="10" applyFont="1" applyFill="1" applyBorder="1" applyAlignment="1" applyProtection="1">
      <alignment horizontal="right" vertical="center" wrapText="1"/>
      <protection hidden="1"/>
    </xf>
    <xf numFmtId="0" fontId="14" fillId="0" borderId="1" xfId="8" applyNumberFormat="1" applyFont="1" applyBorder="1" applyAlignment="1" applyProtection="1">
      <alignment horizontal="center" vertical="center" wrapText="1"/>
      <protection hidden="1"/>
    </xf>
    <xf numFmtId="14" fontId="0" fillId="3" borderId="1" xfId="3" applyNumberFormat="1" applyFont="1" applyBorder="1" applyAlignment="1" applyProtection="1">
      <alignment horizontal="center" vertical="center"/>
    </xf>
    <xf numFmtId="0" fontId="0" fillId="3" borderId="0" xfId="3" applyFont="1" applyAlignment="1" applyProtection="1">
      <alignment horizontal="left" vertical="center"/>
    </xf>
    <xf numFmtId="0" fontId="0" fillId="3" borderId="0" xfId="3" applyFont="1" applyAlignment="1" applyProtection="1">
      <alignment horizontal="center" vertical="center"/>
    </xf>
    <xf numFmtId="0" fontId="0" fillId="0" borderId="0" xfId="0" applyAlignment="1" applyProtection="1">
      <alignment horizontal="left" vertical="center"/>
    </xf>
    <xf numFmtId="0" fontId="0" fillId="0" borderId="0" xfId="0" applyAlignment="1" applyProtection="1">
      <alignment horizontal="center" vertical="center"/>
    </xf>
    <xf numFmtId="0" fontId="17" fillId="0" borderId="0" xfId="1" applyFont="1" applyAlignment="1" applyProtection="1">
      <alignment horizontal="center"/>
      <protection hidden="1"/>
    </xf>
    <xf numFmtId="44" fontId="14" fillId="12" borderId="5" xfId="7" applyNumberFormat="1" applyFont="1" applyFill="1" applyBorder="1" applyAlignment="1" applyProtection="1">
      <alignment vertical="center"/>
      <protection hidden="1"/>
    </xf>
    <xf numFmtId="44" fontId="14" fillId="12" borderId="0" xfId="7" applyNumberFormat="1" applyFont="1" applyFill="1" applyAlignment="1" applyProtection="1">
      <alignment vertical="center"/>
      <protection hidden="1"/>
    </xf>
    <xf numFmtId="0" fontId="5" fillId="14" borderId="4" xfId="11" applyNumberFormat="1" applyFont="1" applyFill="1" applyBorder="1" applyAlignment="1" applyProtection="1">
      <alignment horizontal="center" vertical="center" wrapText="1"/>
      <protection hidden="1"/>
    </xf>
    <xf numFmtId="0" fontId="5" fillId="14" borderId="7" xfId="11" applyNumberFormat="1" applyFont="1" applyFill="1" applyBorder="1" applyAlignment="1" applyProtection="1">
      <alignment horizontal="center" vertical="center" wrapText="1"/>
      <protection hidden="1"/>
    </xf>
    <xf numFmtId="165" fontId="5" fillId="14" borderId="7" xfId="11" applyNumberFormat="1" applyFont="1" applyFill="1" applyBorder="1" applyAlignment="1" applyProtection="1">
      <alignment horizontal="center" vertical="center" wrapText="1"/>
      <protection hidden="1"/>
    </xf>
    <xf numFmtId="0" fontId="5" fillId="14" borderId="7" xfId="11" applyFont="1" applyFill="1" applyBorder="1" applyAlignment="1" applyProtection="1">
      <alignment horizontal="center" vertical="center" wrapText="1"/>
      <protection hidden="1"/>
    </xf>
    <xf numFmtId="0" fontId="18" fillId="0" borderId="0" xfId="10" applyFont="1" applyFill="1" applyBorder="1" applyAlignment="1" applyProtection="1">
      <alignment horizontal="left" wrapText="1"/>
      <protection hidden="1"/>
    </xf>
    <xf numFmtId="0" fontId="18" fillId="9" borderId="0" xfId="10" applyFont="1" applyFill="1" applyBorder="1" applyAlignment="1" applyProtection="1">
      <alignment horizontal="center" vertical="center" wrapText="1"/>
      <protection hidden="1"/>
    </xf>
    <xf numFmtId="44" fontId="13" fillId="14" borderId="8" xfId="11" applyNumberFormat="1" applyFont="1" applyFill="1" applyBorder="1" applyAlignment="1" applyProtection="1">
      <alignment vertical="center"/>
      <protection hidden="1"/>
    </xf>
    <xf numFmtId="0" fontId="1" fillId="12" borderId="6" xfId="7" applyFill="1" applyBorder="1" applyAlignment="1" applyProtection="1">
      <alignment horizontal="center" vertical="center"/>
      <protection hidden="1"/>
    </xf>
    <xf numFmtId="0" fontId="0" fillId="0" borderId="0" xfId="0" applyFill="1" applyAlignment="1" applyProtection="1">
      <alignment vertical="center"/>
      <protection hidden="1"/>
    </xf>
    <xf numFmtId="0" fontId="1" fillId="12" borderId="8" xfId="7" applyFill="1" applyBorder="1" applyAlignment="1" applyProtection="1">
      <alignment horizontal="center" vertical="center"/>
      <protection hidden="1"/>
    </xf>
    <xf numFmtId="0" fontId="1" fillId="13" borderId="6" xfId="6" applyFill="1" applyBorder="1" applyAlignment="1" applyProtection="1">
      <alignment horizontal="center" vertical="center"/>
      <protection hidden="1"/>
    </xf>
    <xf numFmtId="44" fontId="29" fillId="12" borderId="10" xfId="7" applyNumberFormat="1" applyFont="1" applyFill="1" applyBorder="1" applyProtection="1">
      <protection hidden="1"/>
    </xf>
    <xf numFmtId="0" fontId="18" fillId="9" borderId="0" xfId="10" applyFont="1" applyFill="1" applyBorder="1" applyAlignment="1" applyProtection="1">
      <alignment horizontal="center" vertical="center" wrapText="1"/>
      <protection hidden="1"/>
    </xf>
    <xf numFmtId="0" fontId="18" fillId="0" borderId="0" xfId="10" applyFont="1" applyFill="1" applyBorder="1" applyAlignment="1" applyProtection="1">
      <alignment horizontal="left" wrapText="1"/>
      <protection hidden="1"/>
    </xf>
    <xf numFmtId="44" fontId="10" fillId="12" borderId="7" xfId="7" applyNumberFormat="1" applyFont="1" applyFill="1" applyBorder="1" applyAlignment="1" applyProtection="1">
      <alignment vertical="center"/>
      <protection hidden="1"/>
    </xf>
    <xf numFmtId="0" fontId="25" fillId="0" borderId="15" xfId="0" applyFont="1" applyBorder="1" applyAlignment="1" applyProtection="1">
      <alignment vertical="center" wrapText="1"/>
      <protection hidden="1"/>
    </xf>
    <xf numFmtId="0" fontId="25" fillId="0" borderId="3" xfId="0" applyFont="1" applyBorder="1" applyAlignment="1" applyProtection="1">
      <alignment vertical="center" wrapText="1"/>
      <protection hidden="1"/>
    </xf>
    <xf numFmtId="44" fontId="25" fillId="12" borderId="8" xfId="7" applyNumberFormat="1" applyFont="1" applyFill="1" applyBorder="1" applyAlignment="1" applyProtection="1">
      <alignment vertical="center"/>
      <protection hidden="1"/>
    </xf>
    <xf numFmtId="0" fontId="25" fillId="0" borderId="5" xfId="4" applyFont="1" applyFill="1" applyBorder="1" applyAlignment="1" applyProtection="1">
      <alignment horizontal="center" vertical="center" wrapText="1"/>
      <protection hidden="1"/>
    </xf>
    <xf numFmtId="0" fontId="25" fillId="0" borderId="0" xfId="4" applyFont="1" applyFill="1" applyBorder="1" applyAlignment="1" applyProtection="1">
      <alignment horizontal="center" vertical="center" wrapText="1"/>
      <protection hidden="1"/>
    </xf>
    <xf numFmtId="0" fontId="25" fillId="0" borderId="11" xfId="0" applyFont="1" applyBorder="1" applyAlignment="1" applyProtection="1">
      <protection hidden="1"/>
    </xf>
    <xf numFmtId="0" fontId="25" fillId="0" borderId="5" xfId="0" applyFont="1" applyBorder="1" applyAlignment="1" applyProtection="1">
      <alignment vertical="center" wrapText="1"/>
      <protection hidden="1"/>
    </xf>
    <xf numFmtId="0" fontId="25" fillId="0" borderId="0" xfId="0" applyFont="1" applyBorder="1" applyAlignment="1" applyProtection="1">
      <alignment vertical="center" wrapText="1"/>
      <protection hidden="1"/>
    </xf>
    <xf numFmtId="44" fontId="25" fillId="13" borderId="6" xfId="6" applyNumberFormat="1" applyFont="1" applyFill="1" applyBorder="1" applyAlignment="1" applyProtection="1">
      <alignment vertical="center"/>
      <protection hidden="1"/>
    </xf>
    <xf numFmtId="0" fontId="25" fillId="0" borderId="11" xfId="4" applyFont="1" applyFill="1" applyBorder="1" applyAlignment="1" applyProtection="1">
      <alignment vertical="center"/>
      <protection hidden="1"/>
    </xf>
    <xf numFmtId="44" fontId="25" fillId="12" borderId="6" xfId="7" applyNumberFormat="1" applyFont="1" applyFill="1" applyBorder="1" applyAlignment="1" applyProtection="1">
      <alignment vertical="center"/>
      <protection hidden="1"/>
    </xf>
    <xf numFmtId="44" fontId="25" fillId="12" borderId="4" xfId="7" applyNumberFormat="1" applyFont="1" applyFill="1" applyBorder="1" applyAlignment="1" applyProtection="1">
      <alignment vertical="center"/>
      <protection hidden="1"/>
    </xf>
    <xf numFmtId="44" fontId="25" fillId="12" borderId="16" xfId="7" applyNumberFormat="1" applyFont="1" applyFill="1" applyBorder="1" applyAlignment="1" applyProtection="1">
      <alignment vertical="center"/>
      <protection hidden="1"/>
    </xf>
    <xf numFmtId="44" fontId="25" fillId="13" borderId="11" xfId="6" applyNumberFormat="1" applyFont="1" applyFill="1" applyBorder="1" applyAlignment="1" applyProtection="1">
      <alignment vertical="center"/>
      <protection hidden="1"/>
    </xf>
    <xf numFmtId="44" fontId="25" fillId="12" borderId="11" xfId="7" applyNumberFormat="1" applyFont="1" applyFill="1" applyBorder="1" applyAlignment="1" applyProtection="1">
      <alignment vertical="center"/>
      <protection hidden="1"/>
    </xf>
    <xf numFmtId="0" fontId="0" fillId="0" borderId="5" xfId="0" applyBorder="1" applyAlignment="1" applyProtection="1">
      <alignment horizontal="left" vertical="center"/>
    </xf>
    <xf numFmtId="0" fontId="0" fillId="0" borderId="0" xfId="0" applyFill="1" applyBorder="1" applyAlignment="1" applyProtection="1">
      <alignment horizontal="left" vertical="center"/>
    </xf>
    <xf numFmtId="0" fontId="0" fillId="0" borderId="0" xfId="0" applyFill="1" applyBorder="1" applyAlignment="1" applyProtection="1">
      <alignment horizontal="center" vertical="center"/>
    </xf>
    <xf numFmtId="0" fontId="0" fillId="0" borderId="0" xfId="0" applyBorder="1" applyProtection="1">
      <protection hidden="1"/>
    </xf>
    <xf numFmtId="0" fontId="18" fillId="0" borderId="0" xfId="10" applyFont="1" applyFill="1" applyBorder="1" applyAlignment="1" applyProtection="1">
      <alignment horizontal="left" wrapText="1"/>
      <protection hidden="1"/>
    </xf>
    <xf numFmtId="0" fontId="18" fillId="9" borderId="0" xfId="10" applyFont="1" applyFill="1" applyBorder="1" applyAlignment="1" applyProtection="1">
      <alignment horizontal="center" vertical="center" wrapText="1"/>
      <protection hidden="1"/>
    </xf>
    <xf numFmtId="44" fontId="14" fillId="13" borderId="5" xfId="7" applyNumberFormat="1" applyFont="1" applyFill="1" applyBorder="1" applyAlignment="1" applyProtection="1">
      <alignment vertical="center"/>
      <protection hidden="1"/>
    </xf>
    <xf numFmtId="44" fontId="14" fillId="13" borderId="0" xfId="7" applyNumberFormat="1" applyFont="1" applyFill="1" applyAlignment="1" applyProtection="1">
      <alignment vertical="center"/>
      <protection hidden="1"/>
    </xf>
    <xf numFmtId="44" fontId="13" fillId="14" borderId="6" xfId="11" applyNumberFormat="1" applyFont="1" applyFill="1" applyBorder="1" applyAlignment="1" applyProtection="1">
      <alignment vertical="center"/>
      <protection hidden="1"/>
    </xf>
    <xf numFmtId="44" fontId="13" fillId="15" borderId="6" xfId="11" applyNumberFormat="1" applyFont="1" applyFill="1" applyBorder="1" applyAlignment="1" applyProtection="1">
      <alignment vertical="center"/>
      <protection hidden="1"/>
    </xf>
    <xf numFmtId="49" fontId="1" fillId="3" borderId="0" xfId="3" applyNumberFormat="1" applyAlignment="1" applyProtection="1">
      <alignment horizontal="center" vertical="center"/>
    </xf>
    <xf numFmtId="49" fontId="0" fillId="3" borderId="0" xfId="3" applyNumberFormat="1" applyFont="1" applyAlignment="1" applyProtection="1">
      <alignment horizontal="center" vertical="center"/>
    </xf>
    <xf numFmtId="49" fontId="0" fillId="0" borderId="0" xfId="0" applyNumberFormat="1" applyAlignment="1" applyProtection="1">
      <alignment horizontal="center" vertical="center"/>
    </xf>
    <xf numFmtId="0" fontId="1" fillId="12" borderId="6" xfId="6" applyFill="1" applyBorder="1" applyAlignment="1" applyProtection="1">
      <alignment horizontal="center" vertical="center"/>
      <protection hidden="1"/>
    </xf>
    <xf numFmtId="0" fontId="25" fillId="0" borderId="0" xfId="0" applyFont="1" applyAlignment="1" applyProtection="1">
      <alignment vertical="center" wrapText="1"/>
      <protection hidden="1"/>
    </xf>
    <xf numFmtId="0" fontId="18" fillId="9" borderId="0" xfId="10" applyFont="1" applyFill="1" applyBorder="1" applyAlignment="1" applyProtection="1">
      <alignment horizontal="center" vertical="center" wrapText="1"/>
      <protection hidden="1"/>
    </xf>
    <xf numFmtId="0" fontId="18" fillId="0" borderId="0" xfId="10" applyFont="1" applyFill="1" applyBorder="1" applyAlignment="1" applyProtection="1">
      <alignment horizontal="left" wrapText="1"/>
      <protection hidden="1"/>
    </xf>
    <xf numFmtId="0" fontId="0" fillId="0" borderId="5" xfId="0" applyFill="1" applyBorder="1" applyAlignment="1" applyProtection="1">
      <alignment horizontal="left" vertical="center"/>
    </xf>
    <xf numFmtId="49" fontId="0" fillId="0" borderId="0" xfId="0" applyNumberFormat="1" applyFill="1" applyBorder="1" applyAlignment="1" applyProtection="1">
      <alignment horizontal="center" vertical="center"/>
    </xf>
    <xf numFmtId="49" fontId="0" fillId="0" borderId="0" xfId="0" applyNumberFormat="1" applyBorder="1" applyAlignment="1" applyProtection="1">
      <alignment horizontal="center" vertical="center"/>
    </xf>
    <xf numFmtId="0" fontId="0" fillId="0" borderId="0" xfId="0" applyBorder="1" applyAlignment="1" applyProtection="1">
      <alignment horizontal="center" vertical="center"/>
    </xf>
    <xf numFmtId="49" fontId="1" fillId="3" borderId="0" xfId="3" applyNumberFormat="1" applyBorder="1" applyAlignment="1" applyProtection="1">
      <alignment horizontal="center" vertical="center"/>
    </xf>
    <xf numFmtId="44" fontId="14" fillId="12" borderId="15" xfId="7" applyNumberFormat="1" applyFont="1" applyFill="1" applyBorder="1" applyAlignment="1" applyProtection="1">
      <alignment vertical="center"/>
      <protection hidden="1"/>
    </xf>
    <xf numFmtId="0" fontId="0" fillId="3" borderId="0" xfId="3" applyFont="1" applyBorder="1" applyAlignment="1" applyProtection="1">
      <alignment horizontal="center" vertical="center"/>
    </xf>
    <xf numFmtId="49" fontId="35" fillId="16" borderId="17" xfId="0" applyNumberFormat="1" applyFont="1" applyFill="1" applyBorder="1" applyAlignment="1" applyProtection="1">
      <alignment horizontal="left"/>
    </xf>
    <xf numFmtId="0" fontId="0" fillId="3" borderId="0" xfId="3" applyFont="1" applyBorder="1" applyAlignment="1" applyProtection="1">
      <alignment horizontal="left" vertical="center"/>
    </xf>
    <xf numFmtId="0" fontId="0" fillId="3" borderId="5" xfId="3" applyFont="1" applyBorder="1" applyAlignment="1" applyProtection="1">
      <alignment horizontal="left" vertical="center"/>
    </xf>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10" fillId="12" borderId="2" xfId="7" applyFont="1" applyFill="1" applyBorder="1" applyAlignment="1" applyProtection="1">
      <alignment horizontal="center" vertical="center"/>
      <protection hidden="1"/>
    </xf>
    <xf numFmtId="14" fontId="1" fillId="3" borderId="1" xfId="3" applyNumberFormat="1" applyBorder="1" applyAlignment="1" applyProtection="1">
      <alignment horizontal="center" vertical="center"/>
    </xf>
    <xf numFmtId="0" fontId="10" fillId="12" borderId="7" xfId="7" applyNumberFormat="1" applyFont="1" applyFill="1" applyBorder="1" applyAlignment="1" applyProtection="1">
      <alignment horizontal="center" vertical="center"/>
      <protection hidden="1"/>
    </xf>
    <xf numFmtId="0" fontId="3" fillId="14" borderId="9" xfId="11" applyNumberFormat="1" applyFont="1" applyFill="1" applyBorder="1" applyAlignment="1" applyProtection="1">
      <alignment horizontal="center"/>
      <protection hidden="1"/>
    </xf>
    <xf numFmtId="0" fontId="3" fillId="14" borderId="2" xfId="11" applyNumberFormat="1" applyFont="1" applyFill="1" applyBorder="1" applyAlignment="1" applyProtection="1">
      <alignment horizontal="center"/>
      <protection hidden="1"/>
    </xf>
    <xf numFmtId="0" fontId="3" fillId="14" borderId="10" xfId="11" applyNumberFormat="1" applyFont="1" applyFill="1" applyBorder="1" applyAlignment="1" applyProtection="1">
      <alignment horizontal="center"/>
      <protection hidden="1"/>
    </xf>
    <xf numFmtId="0" fontId="3" fillId="14" borderId="9" xfId="5" applyFont="1" applyFill="1" applyBorder="1" applyAlignment="1" applyProtection="1">
      <alignment horizontal="center"/>
      <protection hidden="1"/>
    </xf>
    <xf numFmtId="0" fontId="3" fillId="14" borderId="2" xfId="5" applyFont="1" applyFill="1" applyBorder="1" applyAlignment="1" applyProtection="1">
      <alignment horizontal="center"/>
      <protection hidden="1"/>
    </xf>
    <xf numFmtId="0" fontId="3" fillId="14" borderId="10" xfId="5" applyFont="1" applyFill="1" applyBorder="1" applyAlignment="1" applyProtection="1">
      <alignment horizontal="center"/>
      <protection hidden="1"/>
    </xf>
    <xf numFmtId="0" fontId="0" fillId="3" borderId="1" xfId="3" applyFont="1" applyBorder="1" applyAlignment="1" applyProtection="1">
      <alignment horizontal="center" vertical="center"/>
    </xf>
    <xf numFmtId="0" fontId="1" fillId="3" borderId="1" xfId="3" applyBorder="1" applyAlignment="1" applyProtection="1">
      <alignment horizontal="center" vertical="center"/>
    </xf>
    <xf numFmtId="0" fontId="16" fillId="0" borderId="0" xfId="1" applyNumberFormat="1" applyFont="1" applyAlignment="1" applyProtection="1">
      <alignment horizontal="center"/>
      <protection hidden="1"/>
    </xf>
    <xf numFmtId="0" fontId="14" fillId="0" borderId="0" xfId="8" applyNumberFormat="1" applyFont="1" applyBorder="1" applyAlignment="1" applyProtection="1">
      <alignment horizontal="center" vertical="center" wrapText="1"/>
      <protection hidden="1"/>
    </xf>
    <xf numFmtId="0" fontId="0" fillId="3" borderId="1" xfId="3" applyNumberFormat="1" applyFont="1" applyBorder="1" applyAlignment="1" applyProtection="1">
      <alignment horizontal="center" vertical="center"/>
    </xf>
    <xf numFmtId="164" fontId="0" fillId="3" borderId="2" xfId="3" applyNumberFormat="1" applyFont="1" applyBorder="1" applyAlignment="1" applyProtection="1">
      <alignment horizontal="center" vertical="center"/>
    </xf>
    <xf numFmtId="0" fontId="17" fillId="0" borderId="0" xfId="1" applyFont="1" applyAlignment="1" applyProtection="1">
      <alignment horizontal="center"/>
      <protection hidden="1"/>
    </xf>
    <xf numFmtId="0" fontId="0" fillId="3" borderId="2" xfId="3" applyNumberFormat="1" applyFont="1" applyBorder="1" applyAlignment="1" applyProtection="1">
      <alignment horizontal="center" vertical="center"/>
    </xf>
    <xf numFmtId="0" fontId="26" fillId="0" borderId="7" xfId="4" applyFont="1" applyFill="1" applyBorder="1" applyAlignment="1" applyProtection="1">
      <alignment horizontal="center" vertical="center" wrapText="1"/>
      <protection hidden="1"/>
    </xf>
    <xf numFmtId="0" fontId="25" fillId="0" borderId="7" xfId="4" applyFont="1" applyFill="1" applyBorder="1" applyAlignment="1" applyProtection="1">
      <alignment horizontal="left" vertical="top" wrapText="1"/>
      <protection hidden="1"/>
    </xf>
    <xf numFmtId="0" fontId="32" fillId="14" borderId="7" xfId="5" applyFont="1" applyFill="1" applyBorder="1" applyAlignment="1" applyProtection="1">
      <alignment horizontal="center" vertical="center"/>
      <protection hidden="1"/>
    </xf>
    <xf numFmtId="0" fontId="18" fillId="9" borderId="0" xfId="10" applyFont="1" applyFill="1" applyBorder="1" applyAlignment="1" applyProtection="1">
      <alignment horizontal="center" vertical="center" wrapText="1"/>
      <protection hidden="1"/>
    </xf>
    <xf numFmtId="0" fontId="25" fillId="3" borderId="1" xfId="3" applyFont="1" applyBorder="1" applyAlignment="1" applyProtection="1">
      <alignment horizontal="center" vertical="center"/>
      <protection hidden="1"/>
    </xf>
    <xf numFmtId="0" fontId="29" fillId="12" borderId="9" xfId="7" applyFont="1" applyFill="1" applyBorder="1" applyAlignment="1" applyProtection="1">
      <alignment horizontal="right"/>
      <protection hidden="1"/>
    </xf>
    <xf numFmtId="0" fontId="29" fillId="12" borderId="2" xfId="7" applyFont="1" applyFill="1" applyBorder="1" applyAlignment="1" applyProtection="1">
      <alignment horizontal="right"/>
      <protection hidden="1"/>
    </xf>
    <xf numFmtId="0" fontId="33" fillId="10" borderId="9" xfId="4" applyFont="1" applyFill="1" applyBorder="1" applyAlignment="1" applyProtection="1">
      <alignment horizontal="center" vertical="center"/>
      <protection hidden="1"/>
    </xf>
    <xf numFmtId="0" fontId="33" fillId="10" borderId="2" xfId="4" applyFont="1" applyFill="1" applyBorder="1" applyAlignment="1" applyProtection="1">
      <alignment horizontal="center" vertical="center"/>
      <protection hidden="1"/>
    </xf>
    <xf numFmtId="0" fontId="33" fillId="10" borderId="10" xfId="4" applyFont="1" applyFill="1" applyBorder="1" applyAlignment="1" applyProtection="1">
      <alignment horizontal="center" vertical="center"/>
      <protection hidden="1"/>
    </xf>
    <xf numFmtId="0" fontId="33" fillId="10" borderId="15" xfId="4" applyFont="1" applyFill="1" applyBorder="1" applyAlignment="1" applyProtection="1">
      <alignment horizontal="center" vertical="center" wrapText="1"/>
      <protection hidden="1"/>
    </xf>
    <xf numFmtId="0" fontId="33" fillId="10" borderId="3" xfId="4" applyFont="1" applyFill="1" applyBorder="1" applyAlignment="1" applyProtection="1">
      <alignment horizontal="center" vertical="center" wrapText="1"/>
      <protection hidden="1"/>
    </xf>
    <xf numFmtId="0" fontId="33" fillId="10" borderId="16" xfId="4" applyFont="1" applyFill="1" applyBorder="1" applyAlignment="1" applyProtection="1">
      <alignment horizontal="center" vertical="center" wrapText="1"/>
      <protection hidden="1"/>
    </xf>
    <xf numFmtId="0" fontId="33" fillId="10" borderId="12" xfId="4" applyFont="1" applyFill="1" applyBorder="1" applyAlignment="1" applyProtection="1">
      <alignment horizontal="center" vertical="center" wrapText="1"/>
      <protection hidden="1"/>
    </xf>
    <xf numFmtId="0" fontId="33" fillId="10" borderId="1" xfId="4" applyFont="1" applyFill="1" applyBorder="1" applyAlignment="1" applyProtection="1">
      <alignment horizontal="center" vertical="center" wrapText="1"/>
      <protection hidden="1"/>
    </xf>
    <xf numFmtId="0" fontId="33" fillId="10" borderId="14" xfId="4" applyFont="1" applyFill="1" applyBorder="1" applyAlignment="1" applyProtection="1">
      <alignment horizontal="center" vertical="center" wrapText="1"/>
      <protection hidden="1"/>
    </xf>
    <xf numFmtId="0" fontId="22" fillId="0" borderId="0" xfId="10" applyFont="1" applyFill="1" applyBorder="1" applyAlignment="1" applyProtection="1">
      <alignment horizontal="right" vertical="center" wrapText="1"/>
      <protection hidden="1"/>
    </xf>
    <xf numFmtId="0" fontId="18" fillId="0" borderId="0" xfId="10" applyFont="1" applyFill="1" applyBorder="1" applyAlignment="1" applyProtection="1">
      <alignment horizontal="left" wrapText="1"/>
      <protection hidden="1"/>
    </xf>
    <xf numFmtId="0" fontId="28" fillId="14" borderId="9" xfId="5" applyFont="1" applyFill="1" applyBorder="1" applyAlignment="1" applyProtection="1">
      <alignment horizontal="center" vertical="center"/>
      <protection hidden="1"/>
    </xf>
    <xf numFmtId="0" fontId="28" fillId="14" borderId="2" xfId="5" applyFont="1" applyFill="1" applyBorder="1" applyAlignment="1" applyProtection="1">
      <alignment horizontal="center" vertical="center"/>
      <protection hidden="1"/>
    </xf>
    <xf numFmtId="0" fontId="28" fillId="14" borderId="10" xfId="5" applyFont="1" applyFill="1" applyBorder="1" applyAlignment="1" applyProtection="1">
      <alignment horizontal="center" vertical="center"/>
      <protection hidden="1"/>
    </xf>
    <xf numFmtId="0" fontId="25" fillId="0" borderId="1" xfId="3" applyFont="1" applyFill="1" applyBorder="1" applyAlignment="1" applyProtection="1">
      <alignment horizontal="center" vertical="center"/>
      <protection hidden="1"/>
    </xf>
    <xf numFmtId="1" fontId="25" fillId="0" borderId="2" xfId="3" applyNumberFormat="1" applyFont="1" applyFill="1" applyBorder="1" applyAlignment="1" applyProtection="1">
      <alignment horizontal="center" vertical="center"/>
      <protection hidden="1"/>
    </xf>
    <xf numFmtId="0" fontId="24" fillId="0" borderId="3" xfId="0" applyFont="1" applyBorder="1" applyAlignment="1" applyProtection="1">
      <alignment horizontal="center" vertical="center"/>
      <protection hidden="1"/>
    </xf>
    <xf numFmtId="0" fontId="34" fillId="0" borderId="0" xfId="5" applyFont="1" applyFill="1" applyBorder="1" applyAlignment="1" applyProtection="1">
      <alignment horizontal="right" wrapText="1"/>
      <protection hidden="1"/>
    </xf>
    <xf numFmtId="0" fontId="28" fillId="14" borderId="7" xfId="5" applyFont="1" applyFill="1" applyBorder="1" applyAlignment="1" applyProtection="1">
      <alignment horizontal="center" vertical="center"/>
      <protection hidden="1"/>
    </xf>
  </cellXfs>
  <cellStyles count="12">
    <cellStyle name="20% - Accent3" xfId="3" builtinId="38"/>
    <cellStyle name="20% - Accent6" xfId="6" builtinId="50"/>
    <cellStyle name="40% - Accent3" xfId="4" builtinId="39"/>
    <cellStyle name="40% - Accent6" xfId="7" builtinId="51"/>
    <cellStyle name="Accent3" xfId="2" builtinId="37"/>
    <cellStyle name="Accent5" xfId="11" builtinId="45"/>
    <cellStyle name="Accent6" xfId="5" builtinId="49"/>
    <cellStyle name="Normal" xfId="0" builtinId="0"/>
    <cellStyle name="Normal 2" xfId="9"/>
    <cellStyle name="Normal 3" xfId="8"/>
    <cellStyle name="Normal 4" xfId="10"/>
    <cellStyle name="Title" xfId="1" builtinId="15"/>
  </cellStyles>
  <dxfs count="6417">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indexed="64"/>
        </top>
      </border>
    </dxf>
    <dxf>
      <font>
        <b val="0"/>
        <i val="0"/>
        <strike val="0"/>
        <condense val="0"/>
        <extend val="0"/>
        <outline val="0"/>
        <shadow val="0"/>
        <u val="none"/>
        <vertAlign val="baseline"/>
        <sz val="10"/>
        <color theme="1"/>
        <name val="Calibri"/>
        <scheme val="minor"/>
      </font>
      <alignment horizontal="general" vertical="center" textRotation="0" indent="0" justifyLastLine="0" shrinkToFit="0" readingOrder="0"/>
      <protection locked="1" hidden="1"/>
    </dxf>
    <dxf>
      <border outline="0">
        <bottom style="thin">
          <color indexed="64"/>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indexed="64"/>
        </top>
      </border>
    </dxf>
    <dxf>
      <font>
        <b val="0"/>
        <i val="0"/>
        <strike val="0"/>
        <condense val="0"/>
        <extend val="0"/>
        <outline val="0"/>
        <shadow val="0"/>
        <u val="none"/>
        <vertAlign val="baseline"/>
        <sz val="10"/>
        <color theme="1"/>
        <name val="Calibri"/>
        <scheme val="minor"/>
      </font>
      <alignment horizontal="general" vertical="center" textRotation="0" indent="0" justifyLastLine="0" shrinkToFit="0" readingOrder="0"/>
      <protection locked="1" hidden="1"/>
    </dxf>
    <dxf>
      <border outline="0">
        <bottom style="thin">
          <color indexed="64"/>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indexed="64"/>
        </top>
      </border>
    </dxf>
    <dxf>
      <font>
        <b val="0"/>
        <i val="0"/>
        <strike val="0"/>
        <condense val="0"/>
        <extend val="0"/>
        <outline val="0"/>
        <shadow val="0"/>
        <u val="none"/>
        <vertAlign val="baseline"/>
        <sz val="10"/>
        <color theme="1"/>
        <name val="Calibri"/>
        <scheme val="minor"/>
      </font>
      <alignment horizontal="general" vertical="center" textRotation="0" indent="0" justifyLastLine="0" shrinkToFit="0" readingOrder="0"/>
      <protection locked="1" hidden="1"/>
    </dxf>
    <dxf>
      <border outline="0">
        <bottom style="thin">
          <color indexed="64"/>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indexed="64"/>
        </top>
      </border>
    </dxf>
    <dxf>
      <font>
        <b val="0"/>
        <i val="0"/>
        <strike val="0"/>
        <condense val="0"/>
        <extend val="0"/>
        <outline val="0"/>
        <shadow val="0"/>
        <u val="none"/>
        <vertAlign val="baseline"/>
        <sz val="10"/>
        <color theme="1"/>
        <name val="Calibri"/>
        <scheme val="minor"/>
      </font>
      <alignment horizontal="general" vertical="center" textRotation="0" indent="0" justifyLastLine="0" shrinkToFit="0" readingOrder="0"/>
      <protection locked="1" hidden="1"/>
    </dxf>
    <dxf>
      <border outline="0">
        <bottom style="thin">
          <color indexed="64"/>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indexed="64"/>
        </top>
      </border>
    </dxf>
    <dxf>
      <font>
        <b val="0"/>
        <i val="0"/>
        <strike val="0"/>
        <condense val="0"/>
        <extend val="0"/>
        <outline val="0"/>
        <shadow val="0"/>
        <u val="none"/>
        <vertAlign val="baseline"/>
        <sz val="10"/>
        <color theme="1"/>
        <name val="Calibri"/>
        <scheme val="minor"/>
      </font>
      <alignment horizontal="general" vertical="center" textRotation="0" indent="0" justifyLastLine="0" shrinkToFit="0" readingOrder="0"/>
      <protection locked="1" hidden="1"/>
    </dxf>
    <dxf>
      <border outline="0">
        <bottom style="thin">
          <color indexed="64"/>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indexed="64"/>
        </top>
      </border>
    </dxf>
    <dxf>
      <font>
        <b val="0"/>
        <i val="0"/>
        <strike val="0"/>
        <condense val="0"/>
        <extend val="0"/>
        <outline val="0"/>
        <shadow val="0"/>
        <u val="none"/>
        <vertAlign val="baseline"/>
        <sz val="10"/>
        <color theme="1"/>
        <name val="Calibri"/>
        <scheme val="minor"/>
      </font>
      <alignment horizontal="general" vertical="center" textRotation="0" indent="0" justifyLastLine="0" shrinkToFit="0" readingOrder="0"/>
      <protection locked="1" hidden="1"/>
    </dxf>
    <dxf>
      <border outline="0">
        <bottom style="thin">
          <color indexed="64"/>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indexed="64"/>
        </top>
      </border>
    </dxf>
    <dxf>
      <font>
        <b val="0"/>
        <i val="0"/>
        <strike val="0"/>
        <condense val="0"/>
        <extend val="0"/>
        <outline val="0"/>
        <shadow val="0"/>
        <u val="none"/>
        <vertAlign val="baseline"/>
        <sz val="10"/>
        <color theme="1"/>
        <name val="Calibri"/>
        <scheme val="minor"/>
      </font>
      <alignment horizontal="general" vertical="center" textRotation="0" indent="0" justifyLastLine="0" shrinkToFit="0" readingOrder="0"/>
      <protection locked="1" hidden="1"/>
    </dxf>
    <dxf>
      <border outline="0">
        <bottom style="thin">
          <color indexed="64"/>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indexed="64"/>
        </top>
      </border>
    </dxf>
    <dxf>
      <font>
        <b val="0"/>
        <i val="0"/>
        <strike val="0"/>
        <condense val="0"/>
        <extend val="0"/>
        <outline val="0"/>
        <shadow val="0"/>
        <u val="none"/>
        <vertAlign val="baseline"/>
        <sz val="10"/>
        <color theme="1"/>
        <name val="Calibri"/>
        <scheme val="minor"/>
      </font>
      <alignment horizontal="general" vertical="center" textRotation="0" indent="0" justifyLastLine="0" shrinkToFit="0" readingOrder="0"/>
      <protection locked="1" hidden="1"/>
    </dxf>
    <dxf>
      <border outline="0">
        <bottom style="thin">
          <color indexed="64"/>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b/>
        <strike val="0"/>
        <outline val="0"/>
        <shadow val="0"/>
        <u val="none"/>
        <vertAlign val="baseline"/>
        <sz val="11"/>
        <color auto="1"/>
        <name val="Calibri"/>
        <scheme val="minor"/>
      </font>
      <alignment horizontal="general" vertical="center" textRotation="0" wrapText="0" indent="0" justifyLastLine="0" shrinkToFit="0" readingOrder="0"/>
      <border diagonalUp="0" diagonalDown="0">
        <left style="thin">
          <color indexed="64"/>
        </left>
        <right style="thin">
          <color indexed="64"/>
        </right>
        <top/>
        <bottom/>
        <vertical/>
        <horizontal/>
      </border>
      <protection locked="1" hidden="1"/>
    </dxf>
    <dxf>
      <numFmt numFmtId="34" formatCode="_(&quot;$&quot;* #,##0.00_);_(&quot;$&quot;* \(#,##0.00\);_(&quot;$&quot;* &quot;-&quot;??_);_(@_)"/>
      <fill>
        <patternFill patternType="solid">
          <fgColor indexed="64"/>
          <bgColor rgb="FFF3EAFC"/>
        </patternFill>
      </fill>
      <alignment horizontal="general" vertical="center" textRotation="0" wrapText="0" indent="0" justifyLastLine="0" shrinkToFit="0" readingOrder="0"/>
      <protection locked="1" hidden="1"/>
    </dxf>
    <dxf>
      <numFmt numFmtId="34" formatCode="_(&quot;$&quot;* #,##0.00_);_(&quot;$&quot;* \(#,##0.00\);_(&quot;$&quot;* &quot;-&quot;??_);_(@_)"/>
      <fill>
        <patternFill patternType="solid">
          <fgColor indexed="64"/>
          <bgColor rgb="FFF3EAFC"/>
        </patternFill>
      </fill>
      <alignment horizontal="general" vertical="center" textRotation="0" wrapText="0" indent="0" justifyLastLine="0" shrinkToFit="0" readingOrder="0"/>
      <protection locked="1" hidden="1"/>
    </dxf>
    <dxf>
      <numFmt numFmtId="34" formatCode="_(&quot;$&quot;* #,##0.00_);_(&quot;$&quot;* \(#,##0.00\);_(&quot;$&quot;* &quot;-&quot;??_);_(@_)"/>
      <fill>
        <patternFill patternType="solid">
          <fgColor indexed="64"/>
          <bgColor rgb="FFF3EAFC"/>
        </patternFill>
      </fill>
      <alignment horizontal="general" vertical="center" textRotation="0" wrapText="0" indent="0" justifyLastLine="0" shrinkToFit="0" readingOrder="0"/>
      <protection locked="1" hidden="1"/>
    </dxf>
    <dxf>
      <numFmt numFmtId="34" formatCode="_(&quot;$&quot;* #,##0.00_);_(&quot;$&quot;* \(#,##0.00\);_(&quot;$&quot;* &quot;-&quot;??_);_(@_)"/>
      <fill>
        <patternFill patternType="solid">
          <fgColor indexed="64"/>
          <bgColor rgb="FFF3EAFC"/>
        </patternFill>
      </fill>
      <alignment horizontal="general" vertical="center" textRotation="0" wrapText="0" indent="0" justifyLastLine="0" shrinkToFit="0" readingOrder="0"/>
      <protection locked="1" hidden="1"/>
    </dxf>
    <dxf>
      <numFmt numFmtId="34" formatCode="_(&quot;$&quot;* #,##0.00_);_(&quot;$&quot;* \(#,##0.00\);_(&quot;$&quot;* &quot;-&quot;??_);_(@_)"/>
      <fill>
        <patternFill patternType="solid">
          <fgColor indexed="64"/>
          <bgColor rgb="FFF3EAFC"/>
        </patternFill>
      </fill>
      <alignment horizontal="general" vertical="center" textRotation="0" wrapText="0" indent="0" justifyLastLine="0" shrinkToFit="0" readingOrder="0"/>
      <protection locked="1" hidden="1"/>
    </dxf>
    <dxf>
      <font>
        <strike val="0"/>
        <outline val="0"/>
        <shadow val="0"/>
        <u val="none"/>
        <vertAlign val="baseline"/>
        <sz val="11"/>
        <color auto="1"/>
        <name val="Calibri"/>
        <scheme val="minor"/>
      </font>
      <alignment horizontal="general" vertical="center" textRotation="0" wrapText="0" indent="0" justifyLastLine="0" shrinkToFit="0" readingOrder="0"/>
      <protection locked="1" hidden="1"/>
    </dxf>
    <dxf>
      <font>
        <strike val="0"/>
        <outline val="0"/>
        <shadow val="0"/>
        <u val="none"/>
        <vertAlign val="baseline"/>
        <sz val="11"/>
        <color auto="1"/>
        <name val="Calibri"/>
        <scheme val="minor"/>
      </font>
      <alignment horizontal="general" vertical="center" textRotation="0" wrapText="0" indent="0" justifyLastLine="0" shrinkToFit="0" readingOrder="0"/>
      <protection locked="1" hidden="1"/>
    </dxf>
    <dxf>
      <font>
        <strike val="0"/>
        <outline val="0"/>
        <shadow val="0"/>
        <u val="none"/>
        <vertAlign val="baseline"/>
        <sz val="11"/>
        <color auto="1"/>
        <name val="Calibri"/>
        <scheme val="minor"/>
      </font>
      <alignment horizontal="general" vertical="center" textRotation="0" wrapText="0" indent="0" justifyLastLine="0" shrinkToFit="0" readingOrder="0"/>
      <border diagonalUp="0" diagonalDown="0">
        <left style="thin">
          <color indexed="64"/>
        </left>
        <right/>
        <top/>
        <bottom/>
        <vertical/>
        <horizontal/>
      </border>
      <protection locked="1" hidden="1"/>
    </dxf>
    <dxf>
      <alignment horizontal="center" vertical="center" textRotation="0" wrapText="0" indent="0" justifyLastLine="0" shrinkToFit="0" readingOrder="0"/>
      <protection locked="1" hidden="0"/>
    </dxf>
    <dxf>
      <alignment horizontal="left" vertical="center" textRotation="0" wrapText="0" indent="0" justifyLastLine="0" shrinkToFit="0" readingOrder="0"/>
      <protection locked="1" hidden="0"/>
    </dxf>
    <dxf>
      <numFmt numFmtId="30" formatCode="@"/>
      <alignment horizontal="center" vertical="center" textRotation="0" wrapText="0" indent="0" justifyLastLine="0" shrinkToFit="0" readingOrder="0"/>
      <protection locked="1" hidden="0"/>
    </dxf>
    <dxf>
      <alignment horizontal="left" vertical="center" textRotation="0" wrapText="0" indent="0" justifyLastLine="0" shrinkToFit="0" readingOrder="0"/>
      <border outline="0">
        <left style="thin">
          <color indexed="64"/>
        </left>
        <right/>
      </border>
      <protection locked="1" hidden="0"/>
    </dxf>
    <dxf>
      <alignment horizontal="center" vertical="center" textRotation="0" wrapText="0" indent="0" justifyLastLine="0" shrinkToFit="0" readingOrder="0"/>
      <border diagonalUp="0" diagonalDown="0">
        <left style="thin">
          <color indexed="64"/>
        </left>
        <right style="thin">
          <color indexed="64"/>
        </right>
        <top/>
        <bottom/>
        <vertical/>
        <horizontal/>
      </border>
      <protection locked="1" hidden="1"/>
    </dxf>
    <dxf>
      <alignment horizontal="general" vertical="center" textRotation="0" wrapText="0" indent="0" justifyLastLine="0" shrinkToFit="0" readingOrder="0"/>
      <protection locked="1" hidden="1"/>
    </dxf>
    <dxf>
      <border>
        <bottom style="thin">
          <color indexed="64"/>
        </bottom>
      </border>
    </dxf>
    <dxf>
      <font>
        <strike val="0"/>
        <outline val="0"/>
        <shadow val="0"/>
        <u val="none"/>
        <vertAlign val="baseline"/>
        <sz val="11"/>
        <color theme="0"/>
        <name val="Calibri"/>
        <scheme val="minor"/>
      </font>
      <fill>
        <patternFill patternType="solid">
          <fgColor indexed="64"/>
          <bgColor rgb="FFA566E4"/>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1"/>
    </dxf>
  </dxfs>
  <tableStyles count="0" defaultTableStyle="TableStyleMedium2" defaultPivotStyle="PivotStyleLight16"/>
  <colors>
    <mruColors>
      <color rgb="FFE6D4F8"/>
      <color rgb="FFF3EAFC"/>
      <color rgb="FFA566E4"/>
      <color rgb="FFE0CAF6"/>
      <color rgb="FF9B55E1"/>
      <color rgb="FFD9BEF4"/>
      <color rgb="FFCFADF1"/>
      <color rgb="FF0594FF"/>
      <color rgb="FF601DA3"/>
      <color rgb="FFE1DEC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716280</xdr:colOff>
          <xdr:row>25</xdr:row>
          <xdr:rowOff>114300</xdr:rowOff>
        </xdr:from>
        <xdr:to>
          <xdr:col>9</xdr:col>
          <xdr:colOff>106680</xdr:colOff>
          <xdr:row>27</xdr:row>
          <xdr:rowOff>30480</xdr:rowOff>
        </xdr:to>
        <xdr:sp macro="" textlink="">
          <xdr:nvSpPr>
            <xdr:cNvPr id="1029" name="Check Box 5" hidden="1">
              <a:extLst>
                <a:ext uri="{63B3BB69-23CF-44E3-9099-C40C66FF867C}">
                  <a14:compatExt spid="_x0000_s10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716280</xdr:colOff>
          <xdr:row>26</xdr:row>
          <xdr:rowOff>190500</xdr:rowOff>
        </xdr:from>
        <xdr:to>
          <xdr:col>9</xdr:col>
          <xdr:colOff>106680</xdr:colOff>
          <xdr:row>28</xdr:row>
          <xdr:rowOff>30480</xdr:rowOff>
        </xdr:to>
        <xdr:sp macro="" textlink="">
          <xdr:nvSpPr>
            <xdr:cNvPr id="1030" name="Check Box 6" hidden="1">
              <a:extLst>
                <a:ext uri="{63B3BB69-23CF-44E3-9099-C40C66FF867C}">
                  <a14:compatExt spid="_x0000_s1030"/>
                </a:ext>
              </a:extLst>
            </xdr:cNvPr>
            <xdr:cNvSpPr/>
          </xdr:nvSpPr>
          <xdr:spPr>
            <a:xfrm>
              <a:off x="0" y="0"/>
              <a:ext cx="0" cy="0"/>
            </a:xfrm>
            <a:prstGeom prst="rect">
              <a:avLst/>
            </a:prstGeom>
          </xdr:spPr>
        </xdr:sp>
        <xdr:clientData/>
      </xdr:twoCellAnchor>
    </mc:Choice>
    <mc:Fallback/>
  </mc:AlternateContent>
  <xdr:twoCellAnchor editAs="oneCell">
    <xdr:from>
      <xdr:col>12</xdr:col>
      <xdr:colOff>571499</xdr:colOff>
      <xdr:row>1</xdr:row>
      <xdr:rowOff>47626</xdr:rowOff>
    </xdr:from>
    <xdr:to>
      <xdr:col>13</xdr:col>
      <xdr:colOff>1174781</xdr:colOff>
      <xdr:row>3</xdr:row>
      <xdr:rowOff>49519</xdr:rowOff>
    </xdr:to>
    <xdr:pic>
      <xdr:nvPicPr>
        <xdr:cNvPr id="4" name="Picture 3"/>
        <xdr:cNvPicPr>
          <a:picLocks noChangeAspect="1"/>
        </xdr:cNvPicPr>
      </xdr:nvPicPr>
      <xdr:blipFill rotWithShape="1">
        <a:blip xmlns:r="http://schemas.openxmlformats.org/officeDocument/2006/relationships" r:embed="rId1"/>
        <a:srcRect r="71095" b="50481"/>
        <a:stretch/>
      </xdr:blipFill>
      <xdr:spPr>
        <a:xfrm>
          <a:off x="14276293" y="182097"/>
          <a:ext cx="1589400" cy="607010"/>
        </a:xfrm>
        <a:prstGeom prst="rect">
          <a:avLst/>
        </a:prstGeom>
      </xdr:spPr>
    </xdr:pic>
    <xdr:clientData/>
  </xdr:twoCellAnchor>
</xdr:wsDr>
</file>

<file path=xl/tables/table1.xml><?xml version="1.0" encoding="utf-8"?>
<table xmlns="http://schemas.openxmlformats.org/spreadsheetml/2006/main" id="1" name="Summary_Sheet" displayName="Summary_Sheet" ref="A32:N132" totalsRowShown="0" headerRowDxfId="6416" dataDxfId="6414" headerRowBorderDxfId="6415" headerRowCellStyle="Accent5">
  <autoFilter ref="A32:N132"/>
  <tableColumns count="14">
    <tableColumn id="11" name="Property #" dataDxfId="6413" dataCellStyle="20% - Accent6"/>
    <tableColumn id="1" name="Property Address" dataDxfId="6412"/>
    <tableColumn id="2" name="Pin #" dataDxfId="6411"/>
    <tableColumn id="3" name="City/Town" dataDxfId="6410"/>
    <tableColumn id="4" name="Zip + 4" dataDxfId="6409"/>
    <tableColumn id="5" name="Cutting grass/ neglected weeds" dataDxfId="6408" dataCellStyle="40% - Accent6"/>
    <tableColumn id="6" name="Tree or bush trimming and removal" dataDxfId="6407" dataCellStyle="40% - Accent6"/>
    <tableColumn id="7" name="Pest extermination/ prevention" dataDxfId="6406" dataCellStyle="40% - Accent6"/>
    <tableColumn id="12" name="Garbage/ debris/graffiti removal" dataDxfId="6405" dataCellStyle="20% - Accent6"/>
    <tableColumn id="14" name="Boarding/ closing off/ locking windows or entrances" dataDxfId="6404" dataCellStyle="20% - Accent6"/>
    <tableColumn id="17" name="Surrounding property with a fence/ wall" dataDxfId="6403" dataCellStyle="20% - Accent6"/>
    <tableColumn id="16" name="Demolition" dataDxfId="6402" dataCellStyle="20% - Accent6"/>
    <tableColumn id="13" name="Rehabilitation" dataDxfId="6401" dataCellStyle="20% - Accent6"/>
    <tableColumn id="10" name="Total Requested              Loan Amount" dataDxfId="6400">
      <calculatedColumnFormula>SUM(Summary_Sheet[[#This Row],[Cutting grass/ neglected weeds]:[Rehabilitation]])</calculatedColumnFormula>
    </tableColumn>
  </tableColumns>
  <tableStyleInfo name="TableStyleMedium21" showFirstColumn="0" showLastColumn="0" showRowStripes="1" showColumnStripes="0"/>
</table>
</file>

<file path=xl/tables/table10.xml><?xml version="1.0" encoding="utf-8"?>
<table xmlns="http://schemas.openxmlformats.org/spreadsheetml/2006/main" id="75" name="Grass_2" displayName="Grass_2" ref="A11:D26" totalsRowShown="0" headerRowDxfId="6335" dataDxfId="6333" headerRowBorderDxfId="6334" tableBorderDxfId="6332" headerRowCellStyle="40% - Accent6">
  <autoFilter ref="A11:D26"/>
  <tableColumns count="4">
    <tableColumn id="1" name="Expense" dataDxfId="6331"/>
    <tableColumn id="2" name="Description" dataDxfId="6330"/>
    <tableColumn id="4" name="Label Name" dataDxfId="6329"/>
    <tableColumn id="5" name="Amount" dataDxfId="6328" dataCellStyle="20% - Accent6"/>
  </tableColumns>
  <tableStyleInfo name="TableStyleLight18" showFirstColumn="0" showLastColumn="0" showRowStripes="1" showColumnStripes="0"/>
</table>
</file>

<file path=xl/tables/table100.xml><?xml version="1.0" encoding="utf-8"?>
<table xmlns="http://schemas.openxmlformats.org/spreadsheetml/2006/main" id="23" name="Pest_13" displayName="Pest_13" ref="A49:D64" totalsRowShown="0" headerRowDxfId="5615" dataDxfId="5613" headerRowBorderDxfId="5614" tableBorderDxfId="5612" headerRowCellStyle="40% - Accent6">
  <autoFilter ref="A49:D64"/>
  <tableColumns count="4">
    <tableColumn id="1" name="Expense" dataDxfId="5611"/>
    <tableColumn id="2" name="Description" dataDxfId="5610"/>
    <tableColumn id="4" name="Label Name" dataDxfId="5609"/>
    <tableColumn id="5" name="Amount" dataDxfId="5608" dataCellStyle="40% - Accent6"/>
  </tableColumns>
  <tableStyleInfo name="TableStyleLight18" showFirstColumn="0" showLastColumn="0" showRowStripes="1" showColumnStripes="0"/>
</table>
</file>

<file path=xl/tables/table101.xml><?xml version="1.0" encoding="utf-8"?>
<table xmlns="http://schemas.openxmlformats.org/spreadsheetml/2006/main" id="24" name="Garbage_13" displayName="Garbage_13" ref="A68:D83" totalsRowShown="0" headerRowDxfId="5607" dataDxfId="5605" headerRowBorderDxfId="5606" tableBorderDxfId="5604" headerRowCellStyle="40% - Accent6">
  <autoFilter ref="A68:D83"/>
  <tableColumns count="4">
    <tableColumn id="1" name="Expense" dataDxfId="5603"/>
    <tableColumn id="2" name="Description" dataDxfId="5602"/>
    <tableColumn id="4" name="Label Name" dataDxfId="5601"/>
    <tableColumn id="5" name="Amount" dataDxfId="5600" dataCellStyle="20% - Accent6"/>
  </tableColumns>
  <tableStyleInfo name="TableStyleLight18" showFirstColumn="0" showLastColumn="0" showRowStripes="1" showColumnStripes="0"/>
</table>
</file>

<file path=xl/tables/table102.xml><?xml version="1.0" encoding="utf-8"?>
<table xmlns="http://schemas.openxmlformats.org/spreadsheetml/2006/main" id="25" name="Boarding_13" displayName="Boarding_13" ref="A87:D102" totalsRowShown="0" headerRowDxfId="5599" dataDxfId="5597" headerRowBorderDxfId="5598" tableBorderDxfId="5596" headerRowCellStyle="40% - Accent6">
  <autoFilter ref="A87:D102"/>
  <tableColumns count="4">
    <tableColumn id="1" name="Expense" dataDxfId="5595"/>
    <tableColumn id="2" name="Description" dataDxfId="5594"/>
    <tableColumn id="4" name="Label Name" dataDxfId="5593"/>
    <tableColumn id="5" name="Amount" dataDxfId="5592" dataCellStyle="40% - Accent6"/>
  </tableColumns>
  <tableStyleInfo name="TableStyleLight18" showFirstColumn="0" showLastColumn="0" showRowStripes="1" showColumnStripes="0"/>
</table>
</file>

<file path=xl/tables/table103.xml><?xml version="1.0" encoding="utf-8"?>
<table xmlns="http://schemas.openxmlformats.org/spreadsheetml/2006/main" id="26" name="Fence_13" displayName="Fence_13" ref="A106:D121" totalsRowShown="0" headerRowDxfId="5591" dataDxfId="5589" headerRowBorderDxfId="5590" tableBorderDxfId="5588" headerRowCellStyle="40% - Accent6">
  <autoFilter ref="A106:D121"/>
  <tableColumns count="4">
    <tableColumn id="1" name="Expense" dataDxfId="5587"/>
    <tableColumn id="2" name="Description" dataDxfId="5586"/>
    <tableColumn id="4" name="Label Name" dataDxfId="5585"/>
    <tableColumn id="5" name="Amount" dataDxfId="5584" dataCellStyle="40% - Accent6"/>
  </tableColumns>
  <tableStyleInfo name="TableStyleLight18" showFirstColumn="0" showLastColumn="0" showRowStripes="1" showColumnStripes="0"/>
</table>
</file>

<file path=xl/tables/table104.xml><?xml version="1.0" encoding="utf-8"?>
<table xmlns="http://schemas.openxmlformats.org/spreadsheetml/2006/main" id="27" name="Demolition_13" displayName="Demolition_13" ref="A125:D140" totalsRowShown="0" headerRowDxfId="5583" dataDxfId="5581" headerRowBorderDxfId="5582" tableBorderDxfId="5580" headerRowCellStyle="40% - Accent6">
  <autoFilter ref="A125:D140"/>
  <tableColumns count="4">
    <tableColumn id="1" name="Expense" dataDxfId="5579"/>
    <tableColumn id="2" name="Description" dataDxfId="5578"/>
    <tableColumn id="4" name="Label Name" dataDxfId="5577"/>
    <tableColumn id="5" name="Amount" dataDxfId="5576" dataCellStyle="40% - Accent6"/>
  </tableColumns>
  <tableStyleInfo name="TableStyleLight18" showFirstColumn="0" showLastColumn="0" showRowStripes="1" showColumnStripes="0"/>
</table>
</file>

<file path=xl/tables/table105.xml><?xml version="1.0" encoding="utf-8"?>
<table xmlns="http://schemas.openxmlformats.org/spreadsheetml/2006/main" id="28" name="Rehab_13" displayName="Rehab_13" ref="A144:D159" totalsRowShown="0" headerRowDxfId="5575" dataDxfId="5573" headerRowBorderDxfId="5574" tableBorderDxfId="5572" headerRowCellStyle="40% - Accent6">
  <autoFilter ref="A144:D159"/>
  <tableColumns count="4">
    <tableColumn id="1" name="Expense" dataDxfId="5571"/>
    <tableColumn id="2" name="Description" dataDxfId="5570"/>
    <tableColumn id="4" name="Label Name" dataDxfId="5569"/>
    <tableColumn id="5" name="Amount" dataDxfId="5568" dataCellStyle="40% - Accent6"/>
  </tableColumns>
  <tableStyleInfo name="TableStyleLight18" showFirstColumn="0" showLastColumn="0" showRowStripes="1" showColumnStripes="0"/>
</table>
</file>

<file path=xl/tables/table106.xml><?xml version="1.0" encoding="utf-8"?>
<table xmlns="http://schemas.openxmlformats.org/spreadsheetml/2006/main" id="29" name="Grass_14" displayName="Grass_14" ref="A11:D26" totalsRowShown="0" headerRowDxfId="5567" dataDxfId="5565" headerRowBorderDxfId="5566" tableBorderDxfId="5564" headerRowCellStyle="40% - Accent6">
  <autoFilter ref="A11:D26"/>
  <tableColumns count="4">
    <tableColumn id="1" name="Expense" dataDxfId="5563"/>
    <tableColumn id="2" name="Description" dataDxfId="5562"/>
    <tableColumn id="4" name="Label Name" dataDxfId="5561"/>
    <tableColumn id="5" name="Amount" dataDxfId="5560" dataCellStyle="20% - Accent6"/>
  </tableColumns>
  <tableStyleInfo name="TableStyleLight18" showFirstColumn="0" showLastColumn="0" showRowStripes="1" showColumnStripes="0"/>
</table>
</file>

<file path=xl/tables/table107.xml><?xml version="1.0" encoding="utf-8"?>
<table xmlns="http://schemas.openxmlformats.org/spreadsheetml/2006/main" id="30" name="Tree_14" displayName="Tree_14" ref="A30:D45" totalsRowShown="0" headerRowDxfId="5559" dataDxfId="5557" headerRowBorderDxfId="5558" tableBorderDxfId="5556" headerRowCellStyle="40% - Accent6">
  <autoFilter ref="A30:D45"/>
  <tableColumns count="4">
    <tableColumn id="1" name="Expense" dataDxfId="5555"/>
    <tableColumn id="2" name="Description" dataDxfId="5554"/>
    <tableColumn id="4" name="Label Name" dataDxfId="5553"/>
    <tableColumn id="5" name="Amount" dataDxfId="5552" dataCellStyle="40% - Accent6"/>
  </tableColumns>
  <tableStyleInfo name="TableStyleLight18" showFirstColumn="0" showLastColumn="0" showRowStripes="1" showColumnStripes="0"/>
</table>
</file>

<file path=xl/tables/table108.xml><?xml version="1.0" encoding="utf-8"?>
<table xmlns="http://schemas.openxmlformats.org/spreadsheetml/2006/main" id="31" name="Pest_14" displayName="Pest_14" ref="A49:D64" totalsRowShown="0" headerRowDxfId="5551" dataDxfId="5549" headerRowBorderDxfId="5550" tableBorderDxfId="5548" headerRowCellStyle="40% - Accent6">
  <autoFilter ref="A49:D64"/>
  <tableColumns count="4">
    <tableColumn id="1" name="Expense" dataDxfId="5547"/>
    <tableColumn id="2" name="Description" dataDxfId="5546"/>
    <tableColumn id="4" name="Label Name" dataDxfId="5545"/>
    <tableColumn id="5" name="Amount" dataDxfId="5544" dataCellStyle="40% - Accent6"/>
  </tableColumns>
  <tableStyleInfo name="TableStyleLight18" showFirstColumn="0" showLastColumn="0" showRowStripes="1" showColumnStripes="0"/>
</table>
</file>

<file path=xl/tables/table109.xml><?xml version="1.0" encoding="utf-8"?>
<table xmlns="http://schemas.openxmlformats.org/spreadsheetml/2006/main" id="32" name="Garbage_14" displayName="Garbage_14" ref="A68:D83" totalsRowShown="0" headerRowDxfId="5543" dataDxfId="5541" headerRowBorderDxfId="5542" tableBorderDxfId="5540" headerRowCellStyle="40% - Accent6">
  <autoFilter ref="A68:D83"/>
  <tableColumns count="4">
    <tableColumn id="1" name="Expense" dataDxfId="5539"/>
    <tableColumn id="2" name="Description" dataDxfId="5538"/>
    <tableColumn id="4" name="Label Name" dataDxfId="5537"/>
    <tableColumn id="5" name="Amount" dataDxfId="5536" dataCellStyle="20% - Accent6"/>
  </tableColumns>
  <tableStyleInfo name="TableStyleLight18" showFirstColumn="0" showLastColumn="0" showRowStripes="1" showColumnStripes="0"/>
</table>
</file>

<file path=xl/tables/table11.xml><?xml version="1.0" encoding="utf-8"?>
<table xmlns="http://schemas.openxmlformats.org/spreadsheetml/2006/main" id="76" name="Tree_2" displayName="Tree_2" ref="A30:D45" totalsRowShown="0" headerRowDxfId="6327" dataDxfId="6325" headerRowBorderDxfId="6326" tableBorderDxfId="6324" headerRowCellStyle="40% - Accent6">
  <autoFilter ref="A30:D45"/>
  <tableColumns count="4">
    <tableColumn id="1" name="Expense" dataDxfId="6323"/>
    <tableColumn id="2" name="Description" dataDxfId="6322"/>
    <tableColumn id="4" name="Label Name" dataDxfId="6321"/>
    <tableColumn id="5" name="Amount" dataDxfId="6320" dataCellStyle="40% - Accent6"/>
  </tableColumns>
  <tableStyleInfo name="TableStyleLight18" showFirstColumn="0" showLastColumn="0" showRowStripes="1" showColumnStripes="0"/>
</table>
</file>

<file path=xl/tables/table110.xml><?xml version="1.0" encoding="utf-8"?>
<table xmlns="http://schemas.openxmlformats.org/spreadsheetml/2006/main" id="33" name="Boarding_14" displayName="Boarding_14" ref="A87:D102" totalsRowShown="0" headerRowDxfId="5535" dataDxfId="5533" headerRowBorderDxfId="5534" tableBorderDxfId="5532" headerRowCellStyle="40% - Accent6">
  <autoFilter ref="A87:D102"/>
  <tableColumns count="4">
    <tableColumn id="1" name="Expense" dataDxfId="5531"/>
    <tableColumn id="2" name="Description" dataDxfId="5530"/>
    <tableColumn id="4" name="Label Name" dataDxfId="5529"/>
    <tableColumn id="5" name="Amount" dataDxfId="5528" dataCellStyle="40% - Accent6"/>
  </tableColumns>
  <tableStyleInfo name="TableStyleLight18" showFirstColumn="0" showLastColumn="0" showRowStripes="1" showColumnStripes="0"/>
</table>
</file>

<file path=xl/tables/table111.xml><?xml version="1.0" encoding="utf-8"?>
<table xmlns="http://schemas.openxmlformats.org/spreadsheetml/2006/main" id="34" name="Fence_14" displayName="Fence_14" ref="A106:D121" totalsRowShown="0" headerRowDxfId="5527" dataDxfId="5525" headerRowBorderDxfId="5526" tableBorderDxfId="5524" headerRowCellStyle="40% - Accent6">
  <autoFilter ref="A106:D121"/>
  <tableColumns count="4">
    <tableColumn id="1" name="Expense" dataDxfId="5523"/>
    <tableColumn id="2" name="Description" dataDxfId="5522"/>
    <tableColumn id="4" name="Label Name" dataDxfId="5521"/>
    <tableColumn id="5" name="Amount" dataDxfId="5520" dataCellStyle="40% - Accent6"/>
  </tableColumns>
  <tableStyleInfo name="TableStyleLight18" showFirstColumn="0" showLastColumn="0" showRowStripes="1" showColumnStripes="0"/>
</table>
</file>

<file path=xl/tables/table112.xml><?xml version="1.0" encoding="utf-8"?>
<table xmlns="http://schemas.openxmlformats.org/spreadsheetml/2006/main" id="35" name="Demolition_14" displayName="Demolition_14" ref="A125:D140" totalsRowShown="0" headerRowDxfId="5519" dataDxfId="5517" headerRowBorderDxfId="5518" tableBorderDxfId="5516" headerRowCellStyle="40% - Accent6">
  <autoFilter ref="A125:D140"/>
  <tableColumns count="4">
    <tableColumn id="1" name="Expense" dataDxfId="5515"/>
    <tableColumn id="2" name="Description" dataDxfId="5514"/>
    <tableColumn id="4" name="Label Name" dataDxfId="5513"/>
    <tableColumn id="5" name="Amount" dataDxfId="5512" dataCellStyle="40% - Accent6"/>
  </tableColumns>
  <tableStyleInfo name="TableStyleLight18" showFirstColumn="0" showLastColumn="0" showRowStripes="1" showColumnStripes="0"/>
</table>
</file>

<file path=xl/tables/table113.xml><?xml version="1.0" encoding="utf-8"?>
<table xmlns="http://schemas.openxmlformats.org/spreadsheetml/2006/main" id="36" name="Rehab_14" displayName="Rehab_14" ref="A144:D159" totalsRowShown="0" headerRowDxfId="5511" dataDxfId="5509" headerRowBorderDxfId="5510" tableBorderDxfId="5508" headerRowCellStyle="40% - Accent6">
  <autoFilter ref="A144:D159"/>
  <tableColumns count="4">
    <tableColumn id="1" name="Expense" dataDxfId="5507"/>
    <tableColumn id="2" name="Description" dataDxfId="5506"/>
    <tableColumn id="4" name="Label Name" dataDxfId="5505"/>
    <tableColumn id="5" name="Amount" dataDxfId="5504" dataCellStyle="40% - Accent6"/>
  </tableColumns>
  <tableStyleInfo name="TableStyleLight18" showFirstColumn="0" showLastColumn="0" showRowStripes="1" showColumnStripes="0"/>
</table>
</file>

<file path=xl/tables/table114.xml><?xml version="1.0" encoding="utf-8"?>
<table xmlns="http://schemas.openxmlformats.org/spreadsheetml/2006/main" id="37" name="Grass_15" displayName="Grass_15" ref="A11:D26" totalsRowShown="0" headerRowDxfId="5503" dataDxfId="5501" headerRowBorderDxfId="5502" tableBorderDxfId="5500" headerRowCellStyle="40% - Accent6">
  <autoFilter ref="A11:D26"/>
  <tableColumns count="4">
    <tableColumn id="1" name="Expense" dataDxfId="5499"/>
    <tableColumn id="2" name="Description" dataDxfId="5498"/>
    <tableColumn id="4" name="Label Name" dataDxfId="5497"/>
    <tableColumn id="5" name="Amount" dataDxfId="5496" dataCellStyle="20% - Accent6"/>
  </tableColumns>
  <tableStyleInfo name="TableStyleLight18" showFirstColumn="0" showLastColumn="0" showRowStripes="1" showColumnStripes="0"/>
</table>
</file>

<file path=xl/tables/table115.xml><?xml version="1.0" encoding="utf-8"?>
<table xmlns="http://schemas.openxmlformats.org/spreadsheetml/2006/main" id="38" name="Tree_15" displayName="Tree_15" ref="A30:D45" totalsRowShown="0" headerRowDxfId="5495" dataDxfId="5493" headerRowBorderDxfId="5494" tableBorderDxfId="5492" headerRowCellStyle="40% - Accent6">
  <autoFilter ref="A30:D45"/>
  <tableColumns count="4">
    <tableColumn id="1" name="Expense" dataDxfId="5491"/>
    <tableColumn id="2" name="Description" dataDxfId="5490"/>
    <tableColumn id="4" name="Label Name" dataDxfId="5489"/>
    <tableColumn id="5" name="Amount" dataDxfId="5488" dataCellStyle="40% - Accent6"/>
  </tableColumns>
  <tableStyleInfo name="TableStyleLight18" showFirstColumn="0" showLastColumn="0" showRowStripes="1" showColumnStripes="0"/>
</table>
</file>

<file path=xl/tables/table116.xml><?xml version="1.0" encoding="utf-8"?>
<table xmlns="http://schemas.openxmlformats.org/spreadsheetml/2006/main" id="39" name="Pest_15" displayName="Pest_15" ref="A49:D64" totalsRowShown="0" headerRowDxfId="5487" dataDxfId="5485" headerRowBorderDxfId="5486" tableBorderDxfId="5484" headerRowCellStyle="40% - Accent6">
  <autoFilter ref="A49:D64"/>
  <tableColumns count="4">
    <tableColumn id="1" name="Expense" dataDxfId="5483"/>
    <tableColumn id="2" name="Description" dataDxfId="5482"/>
    <tableColumn id="4" name="Label Name" dataDxfId="5481"/>
    <tableColumn id="5" name="Amount" dataDxfId="5480" dataCellStyle="40% - Accent6"/>
  </tableColumns>
  <tableStyleInfo name="TableStyleLight18" showFirstColumn="0" showLastColumn="0" showRowStripes="1" showColumnStripes="0"/>
</table>
</file>

<file path=xl/tables/table117.xml><?xml version="1.0" encoding="utf-8"?>
<table xmlns="http://schemas.openxmlformats.org/spreadsheetml/2006/main" id="40" name="Garbage_15" displayName="Garbage_15" ref="A68:D83" totalsRowShown="0" headerRowDxfId="5479" dataDxfId="5477" headerRowBorderDxfId="5478" tableBorderDxfId="5476" headerRowCellStyle="40% - Accent6">
  <autoFilter ref="A68:D83"/>
  <tableColumns count="4">
    <tableColumn id="1" name="Expense" dataDxfId="5475"/>
    <tableColumn id="2" name="Description" dataDxfId="5474"/>
    <tableColumn id="4" name="Label Name" dataDxfId="5473"/>
    <tableColumn id="5" name="Amount" dataDxfId="5472" dataCellStyle="20% - Accent6"/>
  </tableColumns>
  <tableStyleInfo name="TableStyleLight18" showFirstColumn="0" showLastColumn="0" showRowStripes="1" showColumnStripes="0"/>
</table>
</file>

<file path=xl/tables/table118.xml><?xml version="1.0" encoding="utf-8"?>
<table xmlns="http://schemas.openxmlformats.org/spreadsheetml/2006/main" id="41" name="Boarding_15" displayName="Boarding_15" ref="A87:D102" totalsRowShown="0" headerRowDxfId="5471" dataDxfId="5469" headerRowBorderDxfId="5470" tableBorderDxfId="5468" headerRowCellStyle="40% - Accent6">
  <autoFilter ref="A87:D102"/>
  <tableColumns count="4">
    <tableColumn id="1" name="Expense" dataDxfId="5467"/>
    <tableColumn id="2" name="Description" dataDxfId="5466"/>
    <tableColumn id="4" name="Label Name" dataDxfId="5465"/>
    <tableColumn id="5" name="Amount" dataDxfId="5464" dataCellStyle="40% - Accent6"/>
  </tableColumns>
  <tableStyleInfo name="TableStyleLight18" showFirstColumn="0" showLastColumn="0" showRowStripes="1" showColumnStripes="0"/>
</table>
</file>

<file path=xl/tables/table119.xml><?xml version="1.0" encoding="utf-8"?>
<table xmlns="http://schemas.openxmlformats.org/spreadsheetml/2006/main" id="42" name="Fence_15" displayName="Fence_15" ref="A106:D121" totalsRowShown="0" headerRowDxfId="5463" dataDxfId="5461" headerRowBorderDxfId="5462" tableBorderDxfId="5460" headerRowCellStyle="40% - Accent6">
  <autoFilter ref="A106:D121"/>
  <tableColumns count="4">
    <tableColumn id="1" name="Expense" dataDxfId="5459"/>
    <tableColumn id="2" name="Description" dataDxfId="5458"/>
    <tableColumn id="4" name="Label Name" dataDxfId="5457"/>
    <tableColumn id="5" name="Amount" dataDxfId="5456" dataCellStyle="40% - Accent6"/>
  </tableColumns>
  <tableStyleInfo name="TableStyleLight18" showFirstColumn="0" showLastColumn="0" showRowStripes="1" showColumnStripes="0"/>
</table>
</file>

<file path=xl/tables/table12.xml><?xml version="1.0" encoding="utf-8"?>
<table xmlns="http://schemas.openxmlformats.org/spreadsheetml/2006/main" id="77" name="Pest_2" displayName="Pest_2" ref="A49:D64" totalsRowShown="0" headerRowDxfId="6319" dataDxfId="6317" headerRowBorderDxfId="6318" tableBorderDxfId="6316" headerRowCellStyle="40% - Accent6">
  <autoFilter ref="A49:D64"/>
  <tableColumns count="4">
    <tableColumn id="1" name="Expense" dataDxfId="6315"/>
    <tableColumn id="2" name="Description" dataDxfId="6314"/>
    <tableColumn id="4" name="Label Name" dataDxfId="6313"/>
    <tableColumn id="5" name="Amount" dataDxfId="6312" dataCellStyle="40% - Accent6"/>
  </tableColumns>
  <tableStyleInfo name="TableStyleLight18" showFirstColumn="0" showLastColumn="0" showRowStripes="1" showColumnStripes="0"/>
</table>
</file>

<file path=xl/tables/table120.xml><?xml version="1.0" encoding="utf-8"?>
<table xmlns="http://schemas.openxmlformats.org/spreadsheetml/2006/main" id="43" name="Demolition_15" displayName="Demolition_15" ref="A125:D140" totalsRowShown="0" headerRowDxfId="5455" dataDxfId="5453" headerRowBorderDxfId="5454" tableBorderDxfId="5452" headerRowCellStyle="40% - Accent6">
  <autoFilter ref="A125:D140"/>
  <tableColumns count="4">
    <tableColumn id="1" name="Expense" dataDxfId="5451"/>
    <tableColumn id="2" name="Description" dataDxfId="5450"/>
    <tableColumn id="4" name="Label Name" dataDxfId="5449"/>
    <tableColumn id="5" name="Amount" dataDxfId="5448" dataCellStyle="40% - Accent6"/>
  </tableColumns>
  <tableStyleInfo name="TableStyleLight18" showFirstColumn="0" showLastColumn="0" showRowStripes="1" showColumnStripes="0"/>
</table>
</file>

<file path=xl/tables/table121.xml><?xml version="1.0" encoding="utf-8"?>
<table xmlns="http://schemas.openxmlformats.org/spreadsheetml/2006/main" id="44" name="Rehab_15" displayName="Rehab_15" ref="A144:D159" totalsRowShown="0" headerRowDxfId="5447" dataDxfId="5445" headerRowBorderDxfId="5446" tableBorderDxfId="5444" headerRowCellStyle="40% - Accent6">
  <autoFilter ref="A144:D159"/>
  <tableColumns count="4">
    <tableColumn id="1" name="Expense" dataDxfId="5443"/>
    <tableColumn id="2" name="Description" dataDxfId="5442"/>
    <tableColumn id="4" name="Label Name" dataDxfId="5441"/>
    <tableColumn id="5" name="Amount" dataDxfId="5440" dataCellStyle="40% - Accent6"/>
  </tableColumns>
  <tableStyleInfo name="TableStyleLight18" showFirstColumn="0" showLastColumn="0" showRowStripes="1" showColumnStripes="0"/>
</table>
</file>

<file path=xl/tables/table122.xml><?xml version="1.0" encoding="utf-8"?>
<table xmlns="http://schemas.openxmlformats.org/spreadsheetml/2006/main" id="45" name="Grass_16" displayName="Grass_16" ref="A11:D26" totalsRowShown="0" headerRowDxfId="5439" dataDxfId="5437" headerRowBorderDxfId="5438" tableBorderDxfId="5436" headerRowCellStyle="40% - Accent6">
  <autoFilter ref="A11:D26"/>
  <tableColumns count="4">
    <tableColumn id="1" name="Expense" dataDxfId="5435"/>
    <tableColumn id="2" name="Description" dataDxfId="5434"/>
    <tableColumn id="4" name="Label Name" dataDxfId="5433"/>
    <tableColumn id="5" name="Amount" dataDxfId="5432" dataCellStyle="20% - Accent6"/>
  </tableColumns>
  <tableStyleInfo name="TableStyleLight18" showFirstColumn="0" showLastColumn="0" showRowStripes="1" showColumnStripes="0"/>
</table>
</file>

<file path=xl/tables/table123.xml><?xml version="1.0" encoding="utf-8"?>
<table xmlns="http://schemas.openxmlformats.org/spreadsheetml/2006/main" id="46" name="Tree_16" displayName="Tree_16" ref="A30:D45" totalsRowShown="0" headerRowDxfId="5431" dataDxfId="5429" headerRowBorderDxfId="5430" tableBorderDxfId="5428" headerRowCellStyle="40% - Accent6">
  <autoFilter ref="A30:D45"/>
  <tableColumns count="4">
    <tableColumn id="1" name="Expense" dataDxfId="5427"/>
    <tableColumn id="2" name="Description" dataDxfId="5426"/>
    <tableColumn id="4" name="Label Name" dataDxfId="5425"/>
    <tableColumn id="5" name="Amount" dataDxfId="5424" dataCellStyle="40% - Accent6"/>
  </tableColumns>
  <tableStyleInfo name="TableStyleLight18" showFirstColumn="0" showLastColumn="0" showRowStripes="1" showColumnStripes="0"/>
</table>
</file>

<file path=xl/tables/table124.xml><?xml version="1.0" encoding="utf-8"?>
<table xmlns="http://schemas.openxmlformats.org/spreadsheetml/2006/main" id="47" name="Pest_16" displayName="Pest_16" ref="A49:D64" totalsRowShown="0" headerRowDxfId="5423" dataDxfId="5421" headerRowBorderDxfId="5422" tableBorderDxfId="5420" headerRowCellStyle="40% - Accent6">
  <autoFilter ref="A49:D64"/>
  <tableColumns count="4">
    <tableColumn id="1" name="Expense" dataDxfId="5419"/>
    <tableColumn id="2" name="Description" dataDxfId="5418"/>
    <tableColumn id="4" name="Label Name" dataDxfId="5417"/>
    <tableColumn id="5" name="Amount" dataDxfId="5416" dataCellStyle="40% - Accent6"/>
  </tableColumns>
  <tableStyleInfo name="TableStyleLight18" showFirstColumn="0" showLastColumn="0" showRowStripes="1" showColumnStripes="0"/>
</table>
</file>

<file path=xl/tables/table125.xml><?xml version="1.0" encoding="utf-8"?>
<table xmlns="http://schemas.openxmlformats.org/spreadsheetml/2006/main" id="48" name="Garbage_16" displayName="Garbage_16" ref="A68:D83" totalsRowShown="0" headerRowDxfId="5415" dataDxfId="5413" headerRowBorderDxfId="5414" tableBorderDxfId="5412" headerRowCellStyle="40% - Accent6">
  <autoFilter ref="A68:D83"/>
  <tableColumns count="4">
    <tableColumn id="1" name="Expense" dataDxfId="5411"/>
    <tableColumn id="2" name="Description" dataDxfId="5410"/>
    <tableColumn id="4" name="Label Name" dataDxfId="5409"/>
    <tableColumn id="5" name="Amount" dataDxfId="5408" dataCellStyle="20% - Accent6"/>
  </tableColumns>
  <tableStyleInfo name="TableStyleLight18" showFirstColumn="0" showLastColumn="0" showRowStripes="1" showColumnStripes="0"/>
</table>
</file>

<file path=xl/tables/table126.xml><?xml version="1.0" encoding="utf-8"?>
<table xmlns="http://schemas.openxmlformats.org/spreadsheetml/2006/main" id="49" name="Boarding_16" displayName="Boarding_16" ref="A87:D102" totalsRowShown="0" headerRowDxfId="5407" dataDxfId="5405" headerRowBorderDxfId="5406" tableBorderDxfId="5404" headerRowCellStyle="40% - Accent6">
  <autoFilter ref="A87:D102"/>
  <tableColumns count="4">
    <tableColumn id="1" name="Expense" dataDxfId="5403"/>
    <tableColumn id="2" name="Description" dataDxfId="5402"/>
    <tableColumn id="4" name="Label Name" dataDxfId="5401"/>
    <tableColumn id="5" name="Amount" dataDxfId="5400" dataCellStyle="40% - Accent6"/>
  </tableColumns>
  <tableStyleInfo name="TableStyleLight18" showFirstColumn="0" showLastColumn="0" showRowStripes="1" showColumnStripes="0"/>
</table>
</file>

<file path=xl/tables/table127.xml><?xml version="1.0" encoding="utf-8"?>
<table xmlns="http://schemas.openxmlformats.org/spreadsheetml/2006/main" id="50" name="Fence_16" displayName="Fence_16" ref="A106:D121" totalsRowShown="0" headerRowDxfId="5399" dataDxfId="5397" headerRowBorderDxfId="5398" tableBorderDxfId="5396" headerRowCellStyle="40% - Accent6">
  <autoFilter ref="A106:D121"/>
  <tableColumns count="4">
    <tableColumn id="1" name="Expense" dataDxfId="5395"/>
    <tableColumn id="2" name="Description" dataDxfId="5394"/>
    <tableColumn id="4" name="Label Name" dataDxfId="5393"/>
    <tableColumn id="5" name="Amount" dataDxfId="5392" dataCellStyle="40% - Accent6"/>
  </tableColumns>
  <tableStyleInfo name="TableStyleLight18" showFirstColumn="0" showLastColumn="0" showRowStripes="1" showColumnStripes="0"/>
</table>
</file>

<file path=xl/tables/table128.xml><?xml version="1.0" encoding="utf-8"?>
<table xmlns="http://schemas.openxmlformats.org/spreadsheetml/2006/main" id="51" name="Demolition_16" displayName="Demolition_16" ref="A125:D140" totalsRowShown="0" headerRowDxfId="5391" dataDxfId="5389" headerRowBorderDxfId="5390" tableBorderDxfId="5388" headerRowCellStyle="40% - Accent6">
  <autoFilter ref="A125:D140"/>
  <tableColumns count="4">
    <tableColumn id="1" name="Expense" dataDxfId="5387"/>
    <tableColumn id="2" name="Description" dataDxfId="5386"/>
    <tableColumn id="4" name="Label Name" dataDxfId="5385"/>
    <tableColumn id="5" name="Amount" dataDxfId="5384" dataCellStyle="40% - Accent6"/>
  </tableColumns>
  <tableStyleInfo name="TableStyleLight18" showFirstColumn="0" showLastColumn="0" showRowStripes="1" showColumnStripes="0"/>
</table>
</file>

<file path=xl/tables/table129.xml><?xml version="1.0" encoding="utf-8"?>
<table xmlns="http://schemas.openxmlformats.org/spreadsheetml/2006/main" id="52" name="Rehab_16" displayName="Rehab_16" ref="A144:D159" totalsRowShown="0" headerRowDxfId="5383" dataDxfId="5381" headerRowBorderDxfId="5382" tableBorderDxfId="5380" headerRowCellStyle="40% - Accent6">
  <autoFilter ref="A144:D159"/>
  <tableColumns count="4">
    <tableColumn id="1" name="Expense" dataDxfId="5379"/>
    <tableColumn id="2" name="Description" dataDxfId="5378"/>
    <tableColumn id="4" name="Label Name" dataDxfId="5377"/>
    <tableColumn id="5" name="Amount" dataDxfId="5376" dataCellStyle="40% - Accent6"/>
  </tableColumns>
  <tableStyleInfo name="TableStyleLight18" showFirstColumn="0" showLastColumn="0" showRowStripes="1" showColumnStripes="0"/>
</table>
</file>

<file path=xl/tables/table13.xml><?xml version="1.0" encoding="utf-8"?>
<table xmlns="http://schemas.openxmlformats.org/spreadsheetml/2006/main" id="78" name="Garbage_2" displayName="Garbage_2" ref="A68:D83" totalsRowShown="0" headerRowDxfId="6311" dataDxfId="6309" headerRowBorderDxfId="6310" tableBorderDxfId="6308" headerRowCellStyle="40% - Accent6">
  <autoFilter ref="A68:D83"/>
  <tableColumns count="4">
    <tableColumn id="1" name="Expense" dataDxfId="6307"/>
    <tableColumn id="2" name="Description" dataDxfId="6306"/>
    <tableColumn id="4" name="Label Name" dataDxfId="6305"/>
    <tableColumn id="5" name="Amount" dataDxfId="6304" dataCellStyle="20% - Accent6"/>
  </tableColumns>
  <tableStyleInfo name="TableStyleLight18" showFirstColumn="0" showLastColumn="0" showRowStripes="1" showColumnStripes="0"/>
</table>
</file>

<file path=xl/tables/table130.xml><?xml version="1.0" encoding="utf-8"?>
<table xmlns="http://schemas.openxmlformats.org/spreadsheetml/2006/main" id="53" name="Grass_17" displayName="Grass_17" ref="A11:D26" totalsRowShown="0" headerRowDxfId="5375" dataDxfId="5373" headerRowBorderDxfId="5374" tableBorderDxfId="5372" headerRowCellStyle="40% - Accent6">
  <autoFilter ref="A11:D26"/>
  <tableColumns count="4">
    <tableColumn id="1" name="Expense" dataDxfId="5371"/>
    <tableColumn id="2" name="Description" dataDxfId="5370"/>
    <tableColumn id="4" name="Label Name" dataDxfId="5369"/>
    <tableColumn id="5" name="Amount" dataDxfId="5368" dataCellStyle="20% - Accent6"/>
  </tableColumns>
  <tableStyleInfo name="TableStyleLight18" showFirstColumn="0" showLastColumn="0" showRowStripes="1" showColumnStripes="0"/>
</table>
</file>

<file path=xl/tables/table131.xml><?xml version="1.0" encoding="utf-8"?>
<table xmlns="http://schemas.openxmlformats.org/spreadsheetml/2006/main" id="54" name="Tree_17" displayName="Tree_17" ref="A30:D45" totalsRowShown="0" headerRowDxfId="5367" dataDxfId="5365" headerRowBorderDxfId="5366" tableBorderDxfId="5364" headerRowCellStyle="40% - Accent6">
  <autoFilter ref="A30:D45"/>
  <tableColumns count="4">
    <tableColumn id="1" name="Expense" dataDxfId="5363"/>
    <tableColumn id="2" name="Description" dataDxfId="5362"/>
    <tableColumn id="4" name="Label Name" dataDxfId="5361"/>
    <tableColumn id="5" name="Amount" dataDxfId="5360" dataCellStyle="40% - Accent6"/>
  </tableColumns>
  <tableStyleInfo name="TableStyleLight18" showFirstColumn="0" showLastColumn="0" showRowStripes="1" showColumnStripes="0"/>
</table>
</file>

<file path=xl/tables/table132.xml><?xml version="1.0" encoding="utf-8"?>
<table xmlns="http://schemas.openxmlformats.org/spreadsheetml/2006/main" id="55" name="Pest_17" displayName="Pest_17" ref="A49:D64" totalsRowShown="0" headerRowDxfId="5359" dataDxfId="5357" headerRowBorderDxfId="5358" tableBorderDxfId="5356" headerRowCellStyle="40% - Accent6">
  <autoFilter ref="A49:D64"/>
  <tableColumns count="4">
    <tableColumn id="1" name="Expense" dataDxfId="5355"/>
    <tableColumn id="2" name="Description" dataDxfId="5354"/>
    <tableColumn id="4" name="Label Name" dataDxfId="5353"/>
    <tableColumn id="5" name="Amount" dataDxfId="5352" dataCellStyle="40% - Accent6"/>
  </tableColumns>
  <tableStyleInfo name="TableStyleLight18" showFirstColumn="0" showLastColumn="0" showRowStripes="1" showColumnStripes="0"/>
</table>
</file>

<file path=xl/tables/table133.xml><?xml version="1.0" encoding="utf-8"?>
<table xmlns="http://schemas.openxmlformats.org/spreadsheetml/2006/main" id="56" name="Garbage_17" displayName="Garbage_17" ref="A68:D83" totalsRowShown="0" headerRowDxfId="5351" dataDxfId="5349" headerRowBorderDxfId="5350" tableBorderDxfId="5348" headerRowCellStyle="40% - Accent6">
  <autoFilter ref="A68:D83"/>
  <tableColumns count="4">
    <tableColumn id="1" name="Expense" dataDxfId="5347"/>
    <tableColumn id="2" name="Description" dataDxfId="5346"/>
    <tableColumn id="4" name="Label Name" dataDxfId="5345"/>
    <tableColumn id="5" name="Amount" dataDxfId="5344" dataCellStyle="20% - Accent6"/>
  </tableColumns>
  <tableStyleInfo name="TableStyleLight18" showFirstColumn="0" showLastColumn="0" showRowStripes="1" showColumnStripes="0"/>
</table>
</file>

<file path=xl/tables/table134.xml><?xml version="1.0" encoding="utf-8"?>
<table xmlns="http://schemas.openxmlformats.org/spreadsheetml/2006/main" id="57" name="Boarding_17" displayName="Boarding_17" ref="A87:D102" totalsRowShown="0" headerRowDxfId="5343" dataDxfId="5341" headerRowBorderDxfId="5342" tableBorderDxfId="5340" headerRowCellStyle="40% - Accent6">
  <autoFilter ref="A87:D102"/>
  <tableColumns count="4">
    <tableColumn id="1" name="Expense" dataDxfId="5339"/>
    <tableColumn id="2" name="Description" dataDxfId="5338"/>
    <tableColumn id="4" name="Label Name" dataDxfId="5337"/>
    <tableColumn id="5" name="Amount" dataDxfId="5336" dataCellStyle="40% - Accent6"/>
  </tableColumns>
  <tableStyleInfo name="TableStyleLight18" showFirstColumn="0" showLastColumn="0" showRowStripes="1" showColumnStripes="0"/>
</table>
</file>

<file path=xl/tables/table135.xml><?xml version="1.0" encoding="utf-8"?>
<table xmlns="http://schemas.openxmlformats.org/spreadsheetml/2006/main" id="58" name="Fence_17" displayName="Fence_17" ref="A106:D121" totalsRowShown="0" headerRowDxfId="5335" dataDxfId="5333" headerRowBorderDxfId="5334" tableBorderDxfId="5332" headerRowCellStyle="40% - Accent6">
  <autoFilter ref="A106:D121"/>
  <tableColumns count="4">
    <tableColumn id="1" name="Expense" dataDxfId="5331"/>
    <tableColumn id="2" name="Description" dataDxfId="5330"/>
    <tableColumn id="4" name="Label Name" dataDxfId="5329"/>
    <tableColumn id="5" name="Amount" dataDxfId="5328" dataCellStyle="40% - Accent6"/>
  </tableColumns>
  <tableStyleInfo name="TableStyleLight18" showFirstColumn="0" showLastColumn="0" showRowStripes="1" showColumnStripes="0"/>
</table>
</file>

<file path=xl/tables/table136.xml><?xml version="1.0" encoding="utf-8"?>
<table xmlns="http://schemas.openxmlformats.org/spreadsheetml/2006/main" id="59" name="Demolition_17" displayName="Demolition_17" ref="A125:D140" totalsRowShown="0" headerRowDxfId="5327" dataDxfId="5325" headerRowBorderDxfId="5326" tableBorderDxfId="5324" headerRowCellStyle="40% - Accent6">
  <autoFilter ref="A125:D140"/>
  <tableColumns count="4">
    <tableColumn id="1" name="Expense" dataDxfId="5323"/>
    <tableColumn id="2" name="Description" dataDxfId="5322"/>
    <tableColumn id="4" name="Label Name" dataDxfId="5321"/>
    <tableColumn id="5" name="Amount" dataDxfId="5320" dataCellStyle="40% - Accent6"/>
  </tableColumns>
  <tableStyleInfo name="TableStyleLight18" showFirstColumn="0" showLastColumn="0" showRowStripes="1" showColumnStripes="0"/>
</table>
</file>

<file path=xl/tables/table137.xml><?xml version="1.0" encoding="utf-8"?>
<table xmlns="http://schemas.openxmlformats.org/spreadsheetml/2006/main" id="60" name="Rehab_17" displayName="Rehab_17" ref="A144:D159" totalsRowShown="0" headerRowDxfId="5319" dataDxfId="5317" headerRowBorderDxfId="5318" tableBorderDxfId="5316" headerRowCellStyle="40% - Accent6">
  <autoFilter ref="A144:D159"/>
  <tableColumns count="4">
    <tableColumn id="1" name="Expense" dataDxfId="5315"/>
    <tableColumn id="2" name="Description" dataDxfId="5314"/>
    <tableColumn id="4" name="Label Name" dataDxfId="5313"/>
    <tableColumn id="5" name="Amount" dataDxfId="5312" dataCellStyle="40% - Accent6"/>
  </tableColumns>
  <tableStyleInfo name="TableStyleLight18" showFirstColumn="0" showLastColumn="0" showRowStripes="1" showColumnStripes="0"/>
</table>
</file>

<file path=xl/tables/table138.xml><?xml version="1.0" encoding="utf-8"?>
<table xmlns="http://schemas.openxmlformats.org/spreadsheetml/2006/main" id="61" name="Grass_18" displayName="Grass_18" ref="A11:D26" totalsRowShown="0" headerRowDxfId="5311" dataDxfId="5309" headerRowBorderDxfId="5310" tableBorderDxfId="5308" headerRowCellStyle="40% - Accent6">
  <autoFilter ref="A11:D26"/>
  <tableColumns count="4">
    <tableColumn id="1" name="Expense" dataDxfId="5307"/>
    <tableColumn id="2" name="Description" dataDxfId="5306"/>
    <tableColumn id="4" name="Label Name" dataDxfId="5305"/>
    <tableColumn id="5" name="Amount" dataDxfId="5304" dataCellStyle="20% - Accent6"/>
  </tableColumns>
  <tableStyleInfo name="TableStyleLight18" showFirstColumn="0" showLastColumn="0" showRowStripes="1" showColumnStripes="0"/>
</table>
</file>

<file path=xl/tables/table139.xml><?xml version="1.0" encoding="utf-8"?>
<table xmlns="http://schemas.openxmlformats.org/spreadsheetml/2006/main" id="67" name="Tree_18" displayName="Tree_18" ref="A30:D45" totalsRowShown="0" headerRowDxfId="5303" dataDxfId="5301" headerRowBorderDxfId="5302" tableBorderDxfId="5300" headerRowCellStyle="40% - Accent6">
  <autoFilter ref="A30:D45"/>
  <tableColumns count="4">
    <tableColumn id="1" name="Expense" dataDxfId="5299"/>
    <tableColumn id="2" name="Description" dataDxfId="5298"/>
    <tableColumn id="4" name="Label Name" dataDxfId="5297"/>
    <tableColumn id="5" name="Amount" dataDxfId="5296" dataCellStyle="40% - Accent6"/>
  </tableColumns>
  <tableStyleInfo name="TableStyleLight18" showFirstColumn="0" showLastColumn="0" showRowStripes="1" showColumnStripes="0"/>
</table>
</file>

<file path=xl/tables/table14.xml><?xml version="1.0" encoding="utf-8"?>
<table xmlns="http://schemas.openxmlformats.org/spreadsheetml/2006/main" id="79" name="Boarding_2" displayName="Boarding_2" ref="A87:D102" totalsRowShown="0" headerRowDxfId="6303" dataDxfId="6301" headerRowBorderDxfId="6302" tableBorderDxfId="6300" headerRowCellStyle="40% - Accent6">
  <autoFilter ref="A87:D102"/>
  <tableColumns count="4">
    <tableColumn id="1" name="Expense" dataDxfId="6299"/>
    <tableColumn id="2" name="Description" dataDxfId="6298"/>
    <tableColumn id="4" name="Label Name" dataDxfId="6297"/>
    <tableColumn id="5" name="Amount" dataDxfId="6296" dataCellStyle="40% - Accent6"/>
  </tableColumns>
  <tableStyleInfo name="TableStyleLight18" showFirstColumn="0" showLastColumn="0" showRowStripes="1" showColumnStripes="0"/>
</table>
</file>

<file path=xl/tables/table140.xml><?xml version="1.0" encoding="utf-8"?>
<table xmlns="http://schemas.openxmlformats.org/spreadsheetml/2006/main" id="68" name="Pest_18" displayName="Pest_18" ref="A49:D64" totalsRowShown="0" headerRowDxfId="5295" dataDxfId="5293" headerRowBorderDxfId="5294" tableBorderDxfId="5292" headerRowCellStyle="40% - Accent6">
  <autoFilter ref="A49:D64"/>
  <tableColumns count="4">
    <tableColumn id="1" name="Expense" dataDxfId="5291"/>
    <tableColumn id="2" name="Description" dataDxfId="5290"/>
    <tableColumn id="4" name="Label Name" dataDxfId="5289"/>
    <tableColumn id="5" name="Amount" dataDxfId="5288" dataCellStyle="40% - Accent6"/>
  </tableColumns>
  <tableStyleInfo name="TableStyleLight18" showFirstColumn="0" showLastColumn="0" showRowStripes="1" showColumnStripes="0"/>
</table>
</file>

<file path=xl/tables/table141.xml><?xml version="1.0" encoding="utf-8"?>
<table xmlns="http://schemas.openxmlformats.org/spreadsheetml/2006/main" id="69" name="Garbage_18" displayName="Garbage_18" ref="A68:D83" totalsRowShown="0" headerRowDxfId="5287" dataDxfId="5285" headerRowBorderDxfId="5286" tableBorderDxfId="5284" headerRowCellStyle="40% - Accent6">
  <autoFilter ref="A68:D83"/>
  <tableColumns count="4">
    <tableColumn id="1" name="Expense" dataDxfId="5283"/>
    <tableColumn id="2" name="Description" dataDxfId="5282"/>
    <tableColumn id="4" name="Label Name" dataDxfId="5281"/>
    <tableColumn id="5" name="Amount" dataDxfId="5280" dataCellStyle="20% - Accent6"/>
  </tableColumns>
  <tableStyleInfo name="TableStyleLight18" showFirstColumn="0" showLastColumn="0" showRowStripes="1" showColumnStripes="0"/>
</table>
</file>

<file path=xl/tables/table142.xml><?xml version="1.0" encoding="utf-8"?>
<table xmlns="http://schemas.openxmlformats.org/spreadsheetml/2006/main" id="70" name="Boarding_18" displayName="Boarding_18" ref="A87:D102" totalsRowShown="0" headerRowDxfId="5279" dataDxfId="5277" headerRowBorderDxfId="5278" tableBorderDxfId="5276" headerRowCellStyle="40% - Accent6">
  <autoFilter ref="A87:D102"/>
  <tableColumns count="4">
    <tableColumn id="1" name="Expense" dataDxfId="5275"/>
    <tableColumn id="2" name="Description" dataDxfId="5274"/>
    <tableColumn id="4" name="Label Name" dataDxfId="5273"/>
    <tableColumn id="5" name="Amount" dataDxfId="5272" dataCellStyle="40% - Accent6"/>
  </tableColumns>
  <tableStyleInfo name="TableStyleLight18" showFirstColumn="0" showLastColumn="0" showRowStripes="1" showColumnStripes="0"/>
</table>
</file>

<file path=xl/tables/table143.xml><?xml version="1.0" encoding="utf-8"?>
<table xmlns="http://schemas.openxmlformats.org/spreadsheetml/2006/main" id="71" name="Fence_18" displayName="Fence_18" ref="A106:D121" totalsRowShown="0" headerRowDxfId="5271" dataDxfId="5269" headerRowBorderDxfId="5270" tableBorderDxfId="5268" headerRowCellStyle="40% - Accent6">
  <autoFilter ref="A106:D121"/>
  <tableColumns count="4">
    <tableColumn id="1" name="Expense" dataDxfId="5267"/>
    <tableColumn id="2" name="Description" dataDxfId="5266"/>
    <tableColumn id="4" name="Label Name" dataDxfId="5265"/>
    <tableColumn id="5" name="Amount" dataDxfId="5264" dataCellStyle="40% - Accent6"/>
  </tableColumns>
  <tableStyleInfo name="TableStyleLight18" showFirstColumn="0" showLastColumn="0" showRowStripes="1" showColumnStripes="0"/>
</table>
</file>

<file path=xl/tables/table144.xml><?xml version="1.0" encoding="utf-8"?>
<table xmlns="http://schemas.openxmlformats.org/spreadsheetml/2006/main" id="72" name="Demolition_18" displayName="Demolition_18" ref="A125:D140" totalsRowShown="0" headerRowDxfId="5263" dataDxfId="5261" headerRowBorderDxfId="5262" tableBorderDxfId="5260" headerRowCellStyle="40% - Accent6">
  <autoFilter ref="A125:D140"/>
  <tableColumns count="4">
    <tableColumn id="1" name="Expense" dataDxfId="5259"/>
    <tableColumn id="2" name="Description" dataDxfId="5258"/>
    <tableColumn id="4" name="Label Name" dataDxfId="5257"/>
    <tableColumn id="5" name="Amount" dataDxfId="5256" dataCellStyle="40% - Accent6"/>
  </tableColumns>
  <tableStyleInfo name="TableStyleLight18" showFirstColumn="0" showLastColumn="0" showRowStripes="1" showColumnStripes="0"/>
</table>
</file>

<file path=xl/tables/table145.xml><?xml version="1.0" encoding="utf-8"?>
<table xmlns="http://schemas.openxmlformats.org/spreadsheetml/2006/main" id="73" name="Rehab_18" displayName="Rehab_18" ref="A144:D159" totalsRowShown="0" headerRowDxfId="5255" dataDxfId="5253" headerRowBorderDxfId="5254" tableBorderDxfId="5252" headerRowCellStyle="40% - Accent6">
  <autoFilter ref="A144:D159"/>
  <tableColumns count="4">
    <tableColumn id="1" name="Expense" dataDxfId="5251"/>
    <tableColumn id="2" name="Description" dataDxfId="5250"/>
    <tableColumn id="4" name="Label Name" dataDxfId="5249"/>
    <tableColumn id="5" name="Amount" dataDxfId="5248" dataCellStyle="40% - Accent6"/>
  </tableColumns>
  <tableStyleInfo name="TableStyleLight18" showFirstColumn="0" showLastColumn="0" showRowStripes="1" showColumnStripes="0"/>
</table>
</file>

<file path=xl/tables/table146.xml><?xml version="1.0" encoding="utf-8"?>
<table xmlns="http://schemas.openxmlformats.org/spreadsheetml/2006/main" id="74" name="Grass_19" displayName="Grass_19" ref="A11:D26" totalsRowShown="0" headerRowDxfId="5247" dataDxfId="5245" headerRowBorderDxfId="5246" tableBorderDxfId="5244" headerRowCellStyle="40% - Accent6">
  <autoFilter ref="A11:D26"/>
  <tableColumns count="4">
    <tableColumn id="1" name="Expense" dataDxfId="5243"/>
    <tableColumn id="2" name="Description" dataDxfId="5242"/>
    <tableColumn id="4" name="Label Name" dataDxfId="5241"/>
    <tableColumn id="5" name="Amount" dataDxfId="5240" dataCellStyle="20% - Accent6"/>
  </tableColumns>
  <tableStyleInfo name="TableStyleLight18" showFirstColumn="0" showLastColumn="0" showRowStripes="1" showColumnStripes="0"/>
</table>
</file>

<file path=xl/tables/table147.xml><?xml version="1.0" encoding="utf-8"?>
<table xmlns="http://schemas.openxmlformats.org/spreadsheetml/2006/main" id="147" name="Tree_19" displayName="Tree_19" ref="A30:D45" totalsRowShown="0" headerRowDxfId="5239" dataDxfId="5237" headerRowBorderDxfId="5238" tableBorderDxfId="5236" headerRowCellStyle="40% - Accent6">
  <autoFilter ref="A30:D45"/>
  <tableColumns count="4">
    <tableColumn id="1" name="Expense" dataDxfId="5235"/>
    <tableColumn id="2" name="Description" dataDxfId="5234"/>
    <tableColumn id="4" name="Label Name" dataDxfId="5233"/>
    <tableColumn id="5" name="Amount" dataDxfId="5232" dataCellStyle="40% - Accent6"/>
  </tableColumns>
  <tableStyleInfo name="TableStyleLight18" showFirstColumn="0" showLastColumn="0" showRowStripes="1" showColumnStripes="0"/>
</table>
</file>

<file path=xl/tables/table148.xml><?xml version="1.0" encoding="utf-8"?>
<table xmlns="http://schemas.openxmlformats.org/spreadsheetml/2006/main" id="148" name="Pest_19" displayName="Pest_19" ref="A49:D64" totalsRowShown="0" headerRowDxfId="5231" dataDxfId="5229" headerRowBorderDxfId="5230" tableBorderDxfId="5228" headerRowCellStyle="40% - Accent6">
  <autoFilter ref="A49:D64"/>
  <tableColumns count="4">
    <tableColumn id="1" name="Expense" dataDxfId="5227"/>
    <tableColumn id="2" name="Description" dataDxfId="5226"/>
    <tableColumn id="4" name="Label Name" dataDxfId="5225"/>
    <tableColumn id="5" name="Amount" dataDxfId="5224" dataCellStyle="40% - Accent6"/>
  </tableColumns>
  <tableStyleInfo name="TableStyleLight18" showFirstColumn="0" showLastColumn="0" showRowStripes="1" showColumnStripes="0"/>
</table>
</file>

<file path=xl/tables/table149.xml><?xml version="1.0" encoding="utf-8"?>
<table xmlns="http://schemas.openxmlformats.org/spreadsheetml/2006/main" id="149" name="Garbage_19" displayName="Garbage_19" ref="A68:D83" totalsRowShown="0" headerRowDxfId="5223" dataDxfId="5221" headerRowBorderDxfId="5222" tableBorderDxfId="5220" headerRowCellStyle="40% - Accent6">
  <autoFilter ref="A68:D83"/>
  <tableColumns count="4">
    <tableColumn id="1" name="Expense" dataDxfId="5219"/>
    <tableColumn id="2" name="Description" dataDxfId="5218"/>
    <tableColumn id="4" name="Label Name" dataDxfId="5217"/>
    <tableColumn id="5" name="Amount" dataDxfId="5216" dataCellStyle="20% - Accent6"/>
  </tableColumns>
  <tableStyleInfo name="TableStyleLight18" showFirstColumn="0" showLastColumn="0" showRowStripes="1" showColumnStripes="0"/>
</table>
</file>

<file path=xl/tables/table15.xml><?xml version="1.0" encoding="utf-8"?>
<table xmlns="http://schemas.openxmlformats.org/spreadsheetml/2006/main" id="80" name="Fence_2" displayName="Fence_2" ref="A106:D121" totalsRowShown="0" headerRowDxfId="6295" dataDxfId="6293" headerRowBorderDxfId="6294" tableBorderDxfId="6292" headerRowCellStyle="40% - Accent6">
  <autoFilter ref="A106:D121"/>
  <tableColumns count="4">
    <tableColumn id="1" name="Expense" dataDxfId="6291"/>
    <tableColumn id="2" name="Description" dataDxfId="6290"/>
    <tableColumn id="4" name="Label Name" dataDxfId="6289"/>
    <tableColumn id="5" name="Amount" dataDxfId="6288" dataCellStyle="40% - Accent6"/>
  </tableColumns>
  <tableStyleInfo name="TableStyleLight18" showFirstColumn="0" showLastColumn="0" showRowStripes="1" showColumnStripes="0"/>
</table>
</file>

<file path=xl/tables/table150.xml><?xml version="1.0" encoding="utf-8"?>
<table xmlns="http://schemas.openxmlformats.org/spreadsheetml/2006/main" id="150" name="Boarding_19" displayName="Boarding_19" ref="A87:D102" totalsRowShown="0" headerRowDxfId="5215" dataDxfId="5213" headerRowBorderDxfId="5214" tableBorderDxfId="5212" headerRowCellStyle="40% - Accent6">
  <autoFilter ref="A87:D102"/>
  <tableColumns count="4">
    <tableColumn id="1" name="Expense" dataDxfId="5211"/>
    <tableColumn id="2" name="Description" dataDxfId="5210"/>
    <tableColumn id="4" name="Label Name" dataDxfId="5209"/>
    <tableColumn id="5" name="Amount" dataDxfId="5208" dataCellStyle="40% - Accent6"/>
  </tableColumns>
  <tableStyleInfo name="TableStyleLight18" showFirstColumn="0" showLastColumn="0" showRowStripes="1" showColumnStripes="0"/>
</table>
</file>

<file path=xl/tables/table151.xml><?xml version="1.0" encoding="utf-8"?>
<table xmlns="http://schemas.openxmlformats.org/spreadsheetml/2006/main" id="151" name="Fence_19" displayName="Fence_19" ref="A106:D121" totalsRowShown="0" headerRowDxfId="5207" dataDxfId="5205" headerRowBorderDxfId="5206" tableBorderDxfId="5204" headerRowCellStyle="40% - Accent6">
  <autoFilter ref="A106:D121"/>
  <tableColumns count="4">
    <tableColumn id="1" name="Expense" dataDxfId="5203"/>
    <tableColumn id="2" name="Description" dataDxfId="5202"/>
    <tableColumn id="4" name="Label Name" dataDxfId="5201"/>
    <tableColumn id="5" name="Amount" dataDxfId="5200" dataCellStyle="40% - Accent6"/>
  </tableColumns>
  <tableStyleInfo name="TableStyleLight18" showFirstColumn="0" showLastColumn="0" showRowStripes="1" showColumnStripes="0"/>
</table>
</file>

<file path=xl/tables/table152.xml><?xml version="1.0" encoding="utf-8"?>
<table xmlns="http://schemas.openxmlformats.org/spreadsheetml/2006/main" id="152" name="Demolition_19" displayName="Demolition_19" ref="A125:D140" totalsRowShown="0" headerRowDxfId="5199" dataDxfId="5197" headerRowBorderDxfId="5198" tableBorderDxfId="5196" headerRowCellStyle="40% - Accent6">
  <autoFilter ref="A125:D140"/>
  <tableColumns count="4">
    <tableColumn id="1" name="Expense" dataDxfId="5195"/>
    <tableColumn id="2" name="Description" dataDxfId="5194"/>
    <tableColumn id="4" name="Label Name" dataDxfId="5193"/>
    <tableColumn id="5" name="Amount" dataDxfId="5192" dataCellStyle="40% - Accent6"/>
  </tableColumns>
  <tableStyleInfo name="TableStyleLight18" showFirstColumn="0" showLastColumn="0" showRowStripes="1" showColumnStripes="0"/>
</table>
</file>

<file path=xl/tables/table153.xml><?xml version="1.0" encoding="utf-8"?>
<table xmlns="http://schemas.openxmlformats.org/spreadsheetml/2006/main" id="153" name="Rehab_19" displayName="Rehab_19" ref="A144:D159" totalsRowShown="0" headerRowDxfId="5191" dataDxfId="5189" headerRowBorderDxfId="5190" tableBorderDxfId="5188" headerRowCellStyle="40% - Accent6">
  <autoFilter ref="A144:D159"/>
  <tableColumns count="4">
    <tableColumn id="1" name="Expense" dataDxfId="5187"/>
    <tableColumn id="2" name="Description" dataDxfId="5186"/>
    <tableColumn id="4" name="Label Name" dataDxfId="5185"/>
    <tableColumn id="5" name="Amount" dataDxfId="5184" dataCellStyle="40% - Accent6"/>
  </tableColumns>
  <tableStyleInfo name="TableStyleLight18" showFirstColumn="0" showLastColumn="0" showRowStripes="1" showColumnStripes="0"/>
</table>
</file>

<file path=xl/tables/table154.xml><?xml version="1.0" encoding="utf-8"?>
<table xmlns="http://schemas.openxmlformats.org/spreadsheetml/2006/main" id="154" name="Grass_20" displayName="Grass_20" ref="A11:D26" totalsRowShown="0" headerRowDxfId="5183" dataDxfId="5181" headerRowBorderDxfId="5182" tableBorderDxfId="5180" headerRowCellStyle="40% - Accent6">
  <autoFilter ref="A11:D26"/>
  <tableColumns count="4">
    <tableColumn id="1" name="Expense" dataDxfId="5179"/>
    <tableColumn id="2" name="Description" dataDxfId="5178"/>
    <tableColumn id="4" name="Label Name" dataDxfId="5177"/>
    <tableColumn id="5" name="Amount" dataDxfId="5176" dataCellStyle="20% - Accent6"/>
  </tableColumns>
  <tableStyleInfo name="TableStyleLight18" showFirstColumn="0" showLastColumn="0" showRowStripes="1" showColumnStripes="0"/>
</table>
</file>

<file path=xl/tables/table155.xml><?xml version="1.0" encoding="utf-8"?>
<table xmlns="http://schemas.openxmlformats.org/spreadsheetml/2006/main" id="155" name="Tree_20" displayName="Tree_20" ref="A30:D45" totalsRowShown="0" headerRowDxfId="5175" dataDxfId="5173" headerRowBorderDxfId="5174" tableBorderDxfId="5172" headerRowCellStyle="40% - Accent6">
  <autoFilter ref="A30:D45"/>
  <tableColumns count="4">
    <tableColumn id="1" name="Expense" dataDxfId="5171"/>
    <tableColumn id="2" name="Description" dataDxfId="5170"/>
    <tableColumn id="4" name="Label Name" dataDxfId="5169"/>
    <tableColumn id="5" name="Amount" dataDxfId="5168" dataCellStyle="40% - Accent6"/>
  </tableColumns>
  <tableStyleInfo name="TableStyleLight18" showFirstColumn="0" showLastColumn="0" showRowStripes="1" showColumnStripes="0"/>
</table>
</file>

<file path=xl/tables/table156.xml><?xml version="1.0" encoding="utf-8"?>
<table xmlns="http://schemas.openxmlformats.org/spreadsheetml/2006/main" id="156" name="Pest_20" displayName="Pest_20" ref="A49:D64" totalsRowShown="0" headerRowDxfId="5167" dataDxfId="5165" headerRowBorderDxfId="5166" tableBorderDxfId="5164" headerRowCellStyle="40% - Accent6">
  <autoFilter ref="A49:D64"/>
  <tableColumns count="4">
    <tableColumn id="1" name="Expense" dataDxfId="5163"/>
    <tableColumn id="2" name="Description" dataDxfId="5162"/>
    <tableColumn id="4" name="Label Name" dataDxfId="5161"/>
    <tableColumn id="5" name="Amount" dataDxfId="5160" dataCellStyle="40% - Accent6"/>
  </tableColumns>
  <tableStyleInfo name="TableStyleLight18" showFirstColumn="0" showLastColumn="0" showRowStripes="1" showColumnStripes="0"/>
</table>
</file>

<file path=xl/tables/table157.xml><?xml version="1.0" encoding="utf-8"?>
<table xmlns="http://schemas.openxmlformats.org/spreadsheetml/2006/main" id="157" name="Garbage_20" displayName="Garbage_20" ref="A68:D83" totalsRowShown="0" headerRowDxfId="5159" dataDxfId="5157" headerRowBorderDxfId="5158" tableBorderDxfId="5156" headerRowCellStyle="40% - Accent6">
  <autoFilter ref="A68:D83"/>
  <tableColumns count="4">
    <tableColumn id="1" name="Expense" dataDxfId="5155"/>
    <tableColumn id="2" name="Description" dataDxfId="5154"/>
    <tableColumn id="4" name="Label Name" dataDxfId="5153"/>
    <tableColumn id="5" name="Amount" dataDxfId="5152" dataCellStyle="20% - Accent6"/>
  </tableColumns>
  <tableStyleInfo name="TableStyleLight18" showFirstColumn="0" showLastColumn="0" showRowStripes="1" showColumnStripes="0"/>
</table>
</file>

<file path=xl/tables/table158.xml><?xml version="1.0" encoding="utf-8"?>
<table xmlns="http://schemas.openxmlformats.org/spreadsheetml/2006/main" id="158" name="Boarding_20" displayName="Boarding_20" ref="A87:D102" totalsRowShown="0" headerRowDxfId="5151" dataDxfId="5149" headerRowBorderDxfId="5150" tableBorderDxfId="5148" headerRowCellStyle="40% - Accent6">
  <autoFilter ref="A87:D102"/>
  <tableColumns count="4">
    <tableColumn id="1" name="Expense" dataDxfId="5147"/>
    <tableColumn id="2" name="Description" dataDxfId="5146"/>
    <tableColumn id="4" name="Label Name" dataDxfId="5145"/>
    <tableColumn id="5" name="Amount" dataDxfId="5144" dataCellStyle="40% - Accent6"/>
  </tableColumns>
  <tableStyleInfo name="TableStyleLight18" showFirstColumn="0" showLastColumn="0" showRowStripes="1" showColumnStripes="0"/>
</table>
</file>

<file path=xl/tables/table159.xml><?xml version="1.0" encoding="utf-8"?>
<table xmlns="http://schemas.openxmlformats.org/spreadsheetml/2006/main" id="159" name="Fence_20" displayName="Fence_20" ref="A106:D121" totalsRowShown="0" headerRowDxfId="5143" dataDxfId="5141" headerRowBorderDxfId="5142" tableBorderDxfId="5140" headerRowCellStyle="40% - Accent6">
  <autoFilter ref="A106:D121"/>
  <tableColumns count="4">
    <tableColumn id="1" name="Expense" dataDxfId="5139"/>
    <tableColumn id="2" name="Description" dataDxfId="5138"/>
    <tableColumn id="4" name="Label Name" dataDxfId="5137"/>
    <tableColumn id="5" name="Amount" dataDxfId="5136" dataCellStyle="40% - Accent6"/>
  </tableColumns>
  <tableStyleInfo name="TableStyleLight18" showFirstColumn="0" showLastColumn="0" showRowStripes="1" showColumnStripes="0"/>
</table>
</file>

<file path=xl/tables/table16.xml><?xml version="1.0" encoding="utf-8"?>
<table xmlns="http://schemas.openxmlformats.org/spreadsheetml/2006/main" id="81" name="Demolition_2" displayName="Demolition_2" ref="A125:D140" totalsRowShown="0" headerRowDxfId="6287" dataDxfId="6285" headerRowBorderDxfId="6286" tableBorderDxfId="6284" headerRowCellStyle="40% - Accent6">
  <autoFilter ref="A125:D140"/>
  <tableColumns count="4">
    <tableColumn id="1" name="Expense" dataDxfId="6283"/>
    <tableColumn id="2" name="Description" dataDxfId="6282"/>
    <tableColumn id="4" name="Label Name" dataDxfId="6281"/>
    <tableColumn id="5" name="Amount" dataDxfId="6280" dataCellStyle="40% - Accent6"/>
  </tableColumns>
  <tableStyleInfo name="TableStyleLight18" showFirstColumn="0" showLastColumn="0" showRowStripes="1" showColumnStripes="0"/>
</table>
</file>

<file path=xl/tables/table160.xml><?xml version="1.0" encoding="utf-8"?>
<table xmlns="http://schemas.openxmlformats.org/spreadsheetml/2006/main" id="160" name="Demolition_20" displayName="Demolition_20" ref="A125:D140" totalsRowShown="0" headerRowDxfId="5135" dataDxfId="5133" headerRowBorderDxfId="5134" tableBorderDxfId="5132" headerRowCellStyle="40% - Accent6">
  <autoFilter ref="A125:D140"/>
  <tableColumns count="4">
    <tableColumn id="1" name="Expense" dataDxfId="5131"/>
    <tableColumn id="2" name="Description" dataDxfId="5130"/>
    <tableColumn id="4" name="Label Name" dataDxfId="5129"/>
    <tableColumn id="5" name="Amount" dataDxfId="5128" dataCellStyle="40% - Accent6"/>
  </tableColumns>
  <tableStyleInfo name="TableStyleLight18" showFirstColumn="0" showLastColumn="0" showRowStripes="1" showColumnStripes="0"/>
</table>
</file>

<file path=xl/tables/table161.xml><?xml version="1.0" encoding="utf-8"?>
<table xmlns="http://schemas.openxmlformats.org/spreadsheetml/2006/main" id="161" name="Rehab_20" displayName="Rehab_20" ref="A144:D159" totalsRowShown="0" headerRowDxfId="5127" dataDxfId="5125" headerRowBorderDxfId="5126" tableBorderDxfId="5124" headerRowCellStyle="40% - Accent6">
  <autoFilter ref="A144:D159"/>
  <tableColumns count="4">
    <tableColumn id="1" name="Expense" dataDxfId="5123"/>
    <tableColumn id="2" name="Description" dataDxfId="5122"/>
    <tableColumn id="4" name="Label Name" dataDxfId="5121"/>
    <tableColumn id="5" name="Amount" dataDxfId="5120" dataCellStyle="40% - Accent6"/>
  </tableColumns>
  <tableStyleInfo name="TableStyleLight18" showFirstColumn="0" showLastColumn="0" showRowStripes="1" showColumnStripes="0"/>
</table>
</file>

<file path=xl/tables/table162.xml><?xml version="1.0" encoding="utf-8"?>
<table xmlns="http://schemas.openxmlformats.org/spreadsheetml/2006/main" id="162" name="Grass_21" displayName="Grass_21" ref="A11:D26" totalsRowShown="0" headerRowDxfId="5119" dataDxfId="5117" headerRowBorderDxfId="5118" tableBorderDxfId="5116" headerRowCellStyle="40% - Accent6">
  <autoFilter ref="A11:D26"/>
  <tableColumns count="4">
    <tableColumn id="1" name="Expense" dataDxfId="5115"/>
    <tableColumn id="2" name="Description" dataDxfId="5114"/>
    <tableColumn id="4" name="Label Name" dataDxfId="5113"/>
    <tableColumn id="5" name="Amount" dataDxfId="5112" dataCellStyle="20% - Accent6"/>
  </tableColumns>
  <tableStyleInfo name="TableStyleLight18" showFirstColumn="0" showLastColumn="0" showRowStripes="1" showColumnStripes="0"/>
</table>
</file>

<file path=xl/tables/table163.xml><?xml version="1.0" encoding="utf-8"?>
<table xmlns="http://schemas.openxmlformats.org/spreadsheetml/2006/main" id="163" name="Tree_21" displayName="Tree_21" ref="A30:D45" totalsRowShown="0" headerRowDxfId="5111" dataDxfId="5109" headerRowBorderDxfId="5110" tableBorderDxfId="5108" headerRowCellStyle="40% - Accent6">
  <autoFilter ref="A30:D45"/>
  <tableColumns count="4">
    <tableColumn id="1" name="Expense" dataDxfId="5107"/>
    <tableColumn id="2" name="Description" dataDxfId="5106"/>
    <tableColumn id="4" name="Label Name" dataDxfId="5105"/>
    <tableColumn id="5" name="Amount" dataDxfId="5104" dataCellStyle="40% - Accent6"/>
  </tableColumns>
  <tableStyleInfo name="TableStyleLight18" showFirstColumn="0" showLastColumn="0" showRowStripes="1" showColumnStripes="0"/>
</table>
</file>

<file path=xl/tables/table164.xml><?xml version="1.0" encoding="utf-8"?>
<table xmlns="http://schemas.openxmlformats.org/spreadsheetml/2006/main" id="164" name="Pest_21" displayName="Pest_21" ref="A49:D64" totalsRowShown="0" headerRowDxfId="5103" dataDxfId="5101" headerRowBorderDxfId="5102" tableBorderDxfId="5100" headerRowCellStyle="40% - Accent6">
  <autoFilter ref="A49:D64"/>
  <tableColumns count="4">
    <tableColumn id="1" name="Expense" dataDxfId="5099"/>
    <tableColumn id="2" name="Description" dataDxfId="5098"/>
    <tableColumn id="4" name="Label Name" dataDxfId="5097"/>
    <tableColumn id="5" name="Amount" dataDxfId="5096" dataCellStyle="40% - Accent6"/>
  </tableColumns>
  <tableStyleInfo name="TableStyleLight18" showFirstColumn="0" showLastColumn="0" showRowStripes="1" showColumnStripes="0"/>
</table>
</file>

<file path=xl/tables/table165.xml><?xml version="1.0" encoding="utf-8"?>
<table xmlns="http://schemas.openxmlformats.org/spreadsheetml/2006/main" id="165" name="Garbage_21" displayName="Garbage_21" ref="A68:D83" totalsRowShown="0" headerRowDxfId="5095" dataDxfId="5093" headerRowBorderDxfId="5094" tableBorderDxfId="5092" headerRowCellStyle="40% - Accent6">
  <autoFilter ref="A68:D83"/>
  <tableColumns count="4">
    <tableColumn id="1" name="Expense" dataDxfId="5091"/>
    <tableColumn id="2" name="Description" dataDxfId="5090"/>
    <tableColumn id="4" name="Label Name" dataDxfId="5089"/>
    <tableColumn id="5" name="Amount" dataDxfId="5088" dataCellStyle="20% - Accent6"/>
  </tableColumns>
  <tableStyleInfo name="TableStyleLight18" showFirstColumn="0" showLastColumn="0" showRowStripes="1" showColumnStripes="0"/>
</table>
</file>

<file path=xl/tables/table166.xml><?xml version="1.0" encoding="utf-8"?>
<table xmlns="http://schemas.openxmlformats.org/spreadsheetml/2006/main" id="166" name="Boarding_21" displayName="Boarding_21" ref="A87:D102" totalsRowShown="0" headerRowDxfId="5087" dataDxfId="5085" headerRowBorderDxfId="5086" tableBorderDxfId="5084" headerRowCellStyle="40% - Accent6">
  <autoFilter ref="A87:D102"/>
  <tableColumns count="4">
    <tableColumn id="1" name="Expense" dataDxfId="5083"/>
    <tableColumn id="2" name="Description" dataDxfId="5082"/>
    <tableColumn id="4" name="Label Name" dataDxfId="5081"/>
    <tableColumn id="5" name="Amount" dataDxfId="5080" dataCellStyle="40% - Accent6"/>
  </tableColumns>
  <tableStyleInfo name="TableStyleLight18" showFirstColumn="0" showLastColumn="0" showRowStripes="1" showColumnStripes="0"/>
</table>
</file>

<file path=xl/tables/table167.xml><?xml version="1.0" encoding="utf-8"?>
<table xmlns="http://schemas.openxmlformats.org/spreadsheetml/2006/main" id="167" name="Fence_21" displayName="Fence_21" ref="A106:D121" totalsRowShown="0" headerRowDxfId="5079" dataDxfId="5077" headerRowBorderDxfId="5078" tableBorderDxfId="5076" headerRowCellStyle="40% - Accent6">
  <autoFilter ref="A106:D121"/>
  <tableColumns count="4">
    <tableColumn id="1" name="Expense" dataDxfId="5075"/>
    <tableColumn id="2" name="Description" dataDxfId="5074"/>
    <tableColumn id="4" name="Label Name" dataDxfId="5073"/>
    <tableColumn id="5" name="Amount" dataDxfId="5072" dataCellStyle="40% - Accent6"/>
  </tableColumns>
  <tableStyleInfo name="TableStyleLight18" showFirstColumn="0" showLastColumn="0" showRowStripes="1" showColumnStripes="0"/>
</table>
</file>

<file path=xl/tables/table168.xml><?xml version="1.0" encoding="utf-8"?>
<table xmlns="http://schemas.openxmlformats.org/spreadsheetml/2006/main" id="168" name="Demolition_21" displayName="Demolition_21" ref="A125:D140" totalsRowShown="0" headerRowDxfId="5071" dataDxfId="5069" headerRowBorderDxfId="5070" tableBorderDxfId="5068" headerRowCellStyle="40% - Accent6">
  <autoFilter ref="A125:D140"/>
  <tableColumns count="4">
    <tableColumn id="1" name="Expense" dataDxfId="5067"/>
    <tableColumn id="2" name="Description" dataDxfId="5066"/>
    <tableColumn id="4" name="Label Name" dataDxfId="5065"/>
    <tableColumn id="5" name="Amount" dataDxfId="5064" dataCellStyle="40% - Accent6"/>
  </tableColumns>
  <tableStyleInfo name="TableStyleLight18" showFirstColumn="0" showLastColumn="0" showRowStripes="1" showColumnStripes="0"/>
</table>
</file>

<file path=xl/tables/table169.xml><?xml version="1.0" encoding="utf-8"?>
<table xmlns="http://schemas.openxmlformats.org/spreadsheetml/2006/main" id="169" name="Rehab_21" displayName="Rehab_21" ref="A144:D159" totalsRowShown="0" headerRowDxfId="5063" dataDxfId="5061" headerRowBorderDxfId="5062" tableBorderDxfId="5060" headerRowCellStyle="40% - Accent6">
  <autoFilter ref="A144:D159"/>
  <tableColumns count="4">
    <tableColumn id="1" name="Expense" dataDxfId="5059"/>
    <tableColumn id="2" name="Description" dataDxfId="5058"/>
    <tableColumn id="4" name="Label Name" dataDxfId="5057"/>
    <tableColumn id="5" name="Amount" dataDxfId="5056" dataCellStyle="40% - Accent6"/>
  </tableColumns>
  <tableStyleInfo name="TableStyleLight18" showFirstColumn="0" showLastColumn="0" showRowStripes="1" showColumnStripes="0"/>
</table>
</file>

<file path=xl/tables/table17.xml><?xml version="1.0" encoding="utf-8"?>
<table xmlns="http://schemas.openxmlformats.org/spreadsheetml/2006/main" id="82" name="Rehab_2" displayName="Rehab_2" ref="A144:D159" totalsRowShown="0" headerRowDxfId="6279" dataDxfId="6277" headerRowBorderDxfId="6278" tableBorderDxfId="6276" headerRowCellStyle="40% - Accent6">
  <autoFilter ref="A144:D159"/>
  <tableColumns count="4">
    <tableColumn id="1" name="Expense" dataDxfId="6275"/>
    <tableColumn id="2" name="Description" dataDxfId="6274"/>
    <tableColumn id="4" name="Label Name" dataDxfId="6273"/>
    <tableColumn id="5" name="Amount" dataDxfId="6272" dataCellStyle="40% - Accent6"/>
  </tableColumns>
  <tableStyleInfo name="TableStyleLight18" showFirstColumn="0" showLastColumn="0" showRowStripes="1" showColumnStripes="0"/>
</table>
</file>

<file path=xl/tables/table170.xml><?xml version="1.0" encoding="utf-8"?>
<table xmlns="http://schemas.openxmlformats.org/spreadsheetml/2006/main" id="170" name="Grass_22" displayName="Grass_22" ref="A11:D26" totalsRowShown="0" headerRowDxfId="5055" dataDxfId="5053" headerRowBorderDxfId="5054" tableBorderDxfId="5052" headerRowCellStyle="40% - Accent6">
  <autoFilter ref="A11:D26"/>
  <tableColumns count="4">
    <tableColumn id="1" name="Expense" dataDxfId="5051"/>
    <tableColumn id="2" name="Description" dataDxfId="5050"/>
    <tableColumn id="4" name="Label Name" dataDxfId="5049"/>
    <tableColumn id="5" name="Amount" dataDxfId="5048" dataCellStyle="20% - Accent6"/>
  </tableColumns>
  <tableStyleInfo name="TableStyleLight18" showFirstColumn="0" showLastColumn="0" showRowStripes="1" showColumnStripes="0"/>
</table>
</file>

<file path=xl/tables/table171.xml><?xml version="1.0" encoding="utf-8"?>
<table xmlns="http://schemas.openxmlformats.org/spreadsheetml/2006/main" id="171" name="Tree_22" displayName="Tree_22" ref="A30:D45" totalsRowShown="0" headerRowDxfId="5047" dataDxfId="5045" headerRowBorderDxfId="5046" tableBorderDxfId="5044" headerRowCellStyle="40% - Accent6">
  <autoFilter ref="A30:D45"/>
  <tableColumns count="4">
    <tableColumn id="1" name="Expense" dataDxfId="5043"/>
    <tableColumn id="2" name="Description" dataDxfId="5042"/>
    <tableColumn id="4" name="Label Name" dataDxfId="5041"/>
    <tableColumn id="5" name="Amount" dataDxfId="5040" dataCellStyle="40% - Accent6"/>
  </tableColumns>
  <tableStyleInfo name="TableStyleLight18" showFirstColumn="0" showLastColumn="0" showRowStripes="1" showColumnStripes="0"/>
</table>
</file>

<file path=xl/tables/table172.xml><?xml version="1.0" encoding="utf-8"?>
<table xmlns="http://schemas.openxmlformats.org/spreadsheetml/2006/main" id="172" name="Pest_22" displayName="Pest_22" ref="A49:D64" totalsRowShown="0" headerRowDxfId="5039" dataDxfId="5037" headerRowBorderDxfId="5038" tableBorderDxfId="5036" headerRowCellStyle="40% - Accent6">
  <autoFilter ref="A49:D64"/>
  <tableColumns count="4">
    <tableColumn id="1" name="Expense" dataDxfId="5035"/>
    <tableColumn id="2" name="Description" dataDxfId="5034"/>
    <tableColumn id="4" name="Label Name" dataDxfId="5033"/>
    <tableColumn id="5" name="Amount" dataDxfId="5032" dataCellStyle="40% - Accent6"/>
  </tableColumns>
  <tableStyleInfo name="TableStyleLight18" showFirstColumn="0" showLastColumn="0" showRowStripes="1" showColumnStripes="0"/>
</table>
</file>

<file path=xl/tables/table173.xml><?xml version="1.0" encoding="utf-8"?>
<table xmlns="http://schemas.openxmlformats.org/spreadsheetml/2006/main" id="173" name="Garbage_22" displayName="Garbage_22" ref="A68:D83" totalsRowShown="0" headerRowDxfId="5031" dataDxfId="5029" headerRowBorderDxfId="5030" tableBorderDxfId="5028" headerRowCellStyle="40% - Accent6">
  <autoFilter ref="A68:D83"/>
  <tableColumns count="4">
    <tableColumn id="1" name="Expense" dataDxfId="5027"/>
    <tableColumn id="2" name="Description" dataDxfId="5026"/>
    <tableColumn id="4" name="Label Name" dataDxfId="5025"/>
    <tableColumn id="5" name="Amount" dataDxfId="5024" dataCellStyle="20% - Accent6"/>
  </tableColumns>
  <tableStyleInfo name="TableStyleLight18" showFirstColumn="0" showLastColumn="0" showRowStripes="1" showColumnStripes="0"/>
</table>
</file>

<file path=xl/tables/table174.xml><?xml version="1.0" encoding="utf-8"?>
<table xmlns="http://schemas.openxmlformats.org/spreadsheetml/2006/main" id="174" name="Boarding_22" displayName="Boarding_22" ref="A87:D102" totalsRowShown="0" headerRowDxfId="5023" dataDxfId="5021" headerRowBorderDxfId="5022" tableBorderDxfId="5020" headerRowCellStyle="40% - Accent6">
  <autoFilter ref="A87:D102"/>
  <tableColumns count="4">
    <tableColumn id="1" name="Expense" dataDxfId="5019"/>
    <tableColumn id="2" name="Description" dataDxfId="5018"/>
    <tableColumn id="4" name="Label Name" dataDxfId="5017"/>
    <tableColumn id="5" name="Amount" dataDxfId="5016" dataCellStyle="40% - Accent6"/>
  </tableColumns>
  <tableStyleInfo name="TableStyleLight18" showFirstColumn="0" showLastColumn="0" showRowStripes="1" showColumnStripes="0"/>
</table>
</file>

<file path=xl/tables/table175.xml><?xml version="1.0" encoding="utf-8"?>
<table xmlns="http://schemas.openxmlformats.org/spreadsheetml/2006/main" id="175" name="Fence_22" displayName="Fence_22" ref="A106:D121" totalsRowShown="0" headerRowDxfId="5015" dataDxfId="5013" headerRowBorderDxfId="5014" tableBorderDxfId="5012" headerRowCellStyle="40% - Accent6">
  <autoFilter ref="A106:D121"/>
  <tableColumns count="4">
    <tableColumn id="1" name="Expense" dataDxfId="5011"/>
    <tableColumn id="2" name="Description" dataDxfId="5010"/>
    <tableColumn id="4" name="Label Name" dataDxfId="5009"/>
    <tableColumn id="5" name="Amount" dataDxfId="5008" dataCellStyle="40% - Accent6"/>
  </tableColumns>
  <tableStyleInfo name="TableStyleLight18" showFirstColumn="0" showLastColumn="0" showRowStripes="1" showColumnStripes="0"/>
</table>
</file>

<file path=xl/tables/table176.xml><?xml version="1.0" encoding="utf-8"?>
<table xmlns="http://schemas.openxmlformats.org/spreadsheetml/2006/main" id="176" name="Demolition_22" displayName="Demolition_22" ref="A125:D140" totalsRowShown="0" headerRowDxfId="5007" dataDxfId="5005" headerRowBorderDxfId="5006" tableBorderDxfId="5004" headerRowCellStyle="40% - Accent6">
  <autoFilter ref="A125:D140"/>
  <tableColumns count="4">
    <tableColumn id="1" name="Expense" dataDxfId="5003"/>
    <tableColumn id="2" name="Description" dataDxfId="5002"/>
    <tableColumn id="4" name="Label Name" dataDxfId="5001"/>
    <tableColumn id="5" name="Amount" dataDxfId="5000" dataCellStyle="40% - Accent6"/>
  </tableColumns>
  <tableStyleInfo name="TableStyleLight18" showFirstColumn="0" showLastColumn="0" showRowStripes="1" showColumnStripes="0"/>
</table>
</file>

<file path=xl/tables/table177.xml><?xml version="1.0" encoding="utf-8"?>
<table xmlns="http://schemas.openxmlformats.org/spreadsheetml/2006/main" id="177" name="Rehab_22" displayName="Rehab_22" ref="A144:D159" totalsRowShown="0" headerRowDxfId="4999" dataDxfId="4997" headerRowBorderDxfId="4998" tableBorderDxfId="4996" headerRowCellStyle="40% - Accent6">
  <autoFilter ref="A144:D159"/>
  <tableColumns count="4">
    <tableColumn id="1" name="Expense" dataDxfId="4995"/>
    <tableColumn id="2" name="Description" dataDxfId="4994"/>
    <tableColumn id="4" name="Label Name" dataDxfId="4993"/>
    <tableColumn id="5" name="Amount" dataDxfId="4992" dataCellStyle="40% - Accent6"/>
  </tableColumns>
  <tableStyleInfo name="TableStyleLight18" showFirstColumn="0" showLastColumn="0" showRowStripes="1" showColumnStripes="0"/>
</table>
</file>

<file path=xl/tables/table178.xml><?xml version="1.0" encoding="utf-8"?>
<table xmlns="http://schemas.openxmlformats.org/spreadsheetml/2006/main" id="178" name="Grass_23" displayName="Grass_23" ref="A11:D26" totalsRowShown="0" headerRowDxfId="4991" dataDxfId="4989" headerRowBorderDxfId="4990" tableBorderDxfId="4988" headerRowCellStyle="40% - Accent6">
  <autoFilter ref="A11:D26"/>
  <tableColumns count="4">
    <tableColumn id="1" name="Expense" dataDxfId="4987"/>
    <tableColumn id="2" name="Description" dataDxfId="4986"/>
    <tableColumn id="4" name="Label Name" dataDxfId="4985"/>
    <tableColumn id="5" name="Amount" dataDxfId="4984" dataCellStyle="20% - Accent6"/>
  </tableColumns>
  <tableStyleInfo name="TableStyleLight18" showFirstColumn="0" showLastColumn="0" showRowStripes="1" showColumnStripes="0"/>
</table>
</file>

<file path=xl/tables/table179.xml><?xml version="1.0" encoding="utf-8"?>
<table xmlns="http://schemas.openxmlformats.org/spreadsheetml/2006/main" id="179" name="Tree_23" displayName="Tree_23" ref="A30:D45" totalsRowShown="0" headerRowDxfId="4983" dataDxfId="4981" headerRowBorderDxfId="4982" tableBorderDxfId="4980" headerRowCellStyle="40% - Accent6">
  <autoFilter ref="A30:D45"/>
  <tableColumns count="4">
    <tableColumn id="1" name="Expense" dataDxfId="4979"/>
    <tableColumn id="2" name="Description" dataDxfId="4978"/>
    <tableColumn id="4" name="Label Name" dataDxfId="4977"/>
    <tableColumn id="5" name="Amount" dataDxfId="4976" dataCellStyle="40% - Accent6"/>
  </tableColumns>
  <tableStyleInfo name="TableStyleLight18" showFirstColumn="0" showLastColumn="0" showRowStripes="1" showColumnStripes="0"/>
</table>
</file>

<file path=xl/tables/table18.xml><?xml version="1.0" encoding="utf-8"?>
<table xmlns="http://schemas.openxmlformats.org/spreadsheetml/2006/main" id="83" name="Grass_3" displayName="Grass_3" ref="A11:D26" totalsRowShown="0" headerRowDxfId="6271" dataDxfId="6269" headerRowBorderDxfId="6270" tableBorderDxfId="6268" headerRowCellStyle="40% - Accent6">
  <autoFilter ref="A11:D26"/>
  <tableColumns count="4">
    <tableColumn id="1" name="Expense" dataDxfId="6267"/>
    <tableColumn id="2" name="Description" dataDxfId="6266"/>
    <tableColumn id="4" name="Label Name" dataDxfId="6265"/>
    <tableColumn id="5" name="Amount" dataDxfId="6264" dataCellStyle="20% - Accent6"/>
  </tableColumns>
  <tableStyleInfo name="TableStyleLight18" showFirstColumn="0" showLastColumn="0" showRowStripes="1" showColumnStripes="0"/>
</table>
</file>

<file path=xl/tables/table180.xml><?xml version="1.0" encoding="utf-8"?>
<table xmlns="http://schemas.openxmlformats.org/spreadsheetml/2006/main" id="180" name="Pest_23" displayName="Pest_23" ref="A49:D64" totalsRowShown="0" headerRowDxfId="4975" dataDxfId="4973" headerRowBorderDxfId="4974" tableBorderDxfId="4972" headerRowCellStyle="40% - Accent6">
  <autoFilter ref="A49:D64"/>
  <tableColumns count="4">
    <tableColumn id="1" name="Expense" dataDxfId="4971"/>
    <tableColumn id="2" name="Description" dataDxfId="4970"/>
    <tableColumn id="4" name="Label Name" dataDxfId="4969"/>
    <tableColumn id="5" name="Amount" dataDxfId="4968" dataCellStyle="40% - Accent6"/>
  </tableColumns>
  <tableStyleInfo name="TableStyleLight18" showFirstColumn="0" showLastColumn="0" showRowStripes="1" showColumnStripes="0"/>
</table>
</file>

<file path=xl/tables/table181.xml><?xml version="1.0" encoding="utf-8"?>
<table xmlns="http://schemas.openxmlformats.org/spreadsheetml/2006/main" id="181" name="Garbage_23" displayName="Garbage_23" ref="A68:D83" totalsRowShown="0" headerRowDxfId="4967" dataDxfId="4965" headerRowBorderDxfId="4966" tableBorderDxfId="4964" headerRowCellStyle="40% - Accent6">
  <autoFilter ref="A68:D83"/>
  <tableColumns count="4">
    <tableColumn id="1" name="Expense" dataDxfId="4963"/>
    <tableColumn id="2" name="Description" dataDxfId="4962"/>
    <tableColumn id="4" name="Label Name" dataDxfId="4961"/>
    <tableColumn id="5" name="Amount" dataDxfId="4960" dataCellStyle="20% - Accent6"/>
  </tableColumns>
  <tableStyleInfo name="TableStyleLight18" showFirstColumn="0" showLastColumn="0" showRowStripes="1" showColumnStripes="0"/>
</table>
</file>

<file path=xl/tables/table182.xml><?xml version="1.0" encoding="utf-8"?>
<table xmlns="http://schemas.openxmlformats.org/spreadsheetml/2006/main" id="182" name="Boarding_23" displayName="Boarding_23" ref="A87:D102" totalsRowShown="0" headerRowDxfId="4959" dataDxfId="4957" headerRowBorderDxfId="4958" tableBorderDxfId="4956" headerRowCellStyle="40% - Accent6">
  <autoFilter ref="A87:D102"/>
  <tableColumns count="4">
    <tableColumn id="1" name="Expense" dataDxfId="4955"/>
    <tableColumn id="2" name="Description" dataDxfId="4954"/>
    <tableColumn id="4" name="Label Name" dataDxfId="4953"/>
    <tableColumn id="5" name="Amount" dataDxfId="4952" dataCellStyle="40% - Accent6"/>
  </tableColumns>
  <tableStyleInfo name="TableStyleLight18" showFirstColumn="0" showLastColumn="0" showRowStripes="1" showColumnStripes="0"/>
</table>
</file>

<file path=xl/tables/table183.xml><?xml version="1.0" encoding="utf-8"?>
<table xmlns="http://schemas.openxmlformats.org/spreadsheetml/2006/main" id="183" name="Fence_23" displayName="Fence_23" ref="A106:D121" totalsRowShown="0" headerRowDxfId="4951" dataDxfId="4949" headerRowBorderDxfId="4950" tableBorderDxfId="4948" headerRowCellStyle="40% - Accent6">
  <autoFilter ref="A106:D121"/>
  <tableColumns count="4">
    <tableColumn id="1" name="Expense" dataDxfId="4947"/>
    <tableColumn id="2" name="Description" dataDxfId="4946"/>
    <tableColumn id="4" name="Label Name" dataDxfId="4945"/>
    <tableColumn id="5" name="Amount" dataDxfId="4944" dataCellStyle="40% - Accent6"/>
  </tableColumns>
  <tableStyleInfo name="TableStyleLight18" showFirstColumn="0" showLastColumn="0" showRowStripes="1" showColumnStripes="0"/>
</table>
</file>

<file path=xl/tables/table184.xml><?xml version="1.0" encoding="utf-8"?>
<table xmlns="http://schemas.openxmlformats.org/spreadsheetml/2006/main" id="184" name="Demolition_23" displayName="Demolition_23" ref="A125:D140" totalsRowShown="0" headerRowDxfId="4943" dataDxfId="4941" headerRowBorderDxfId="4942" tableBorderDxfId="4940" headerRowCellStyle="40% - Accent6">
  <autoFilter ref="A125:D140"/>
  <tableColumns count="4">
    <tableColumn id="1" name="Expense" dataDxfId="4939"/>
    <tableColumn id="2" name="Description" dataDxfId="4938"/>
    <tableColumn id="4" name="Label Name" dataDxfId="4937"/>
    <tableColumn id="5" name="Amount" dataDxfId="4936" dataCellStyle="40% - Accent6"/>
  </tableColumns>
  <tableStyleInfo name="TableStyleLight18" showFirstColumn="0" showLastColumn="0" showRowStripes="1" showColumnStripes="0"/>
</table>
</file>

<file path=xl/tables/table185.xml><?xml version="1.0" encoding="utf-8"?>
<table xmlns="http://schemas.openxmlformats.org/spreadsheetml/2006/main" id="185" name="Rehab_23" displayName="Rehab_23" ref="A144:D159" totalsRowShown="0" headerRowDxfId="4935" dataDxfId="4933" headerRowBorderDxfId="4934" tableBorderDxfId="4932" headerRowCellStyle="40% - Accent6">
  <autoFilter ref="A144:D159"/>
  <tableColumns count="4">
    <tableColumn id="1" name="Expense" dataDxfId="4931"/>
    <tableColumn id="2" name="Description" dataDxfId="4930"/>
    <tableColumn id="4" name="Label Name" dataDxfId="4929"/>
    <tableColumn id="5" name="Amount" dataDxfId="4928" dataCellStyle="40% - Accent6"/>
  </tableColumns>
  <tableStyleInfo name="TableStyleLight18" showFirstColumn="0" showLastColumn="0" showRowStripes="1" showColumnStripes="0"/>
</table>
</file>

<file path=xl/tables/table186.xml><?xml version="1.0" encoding="utf-8"?>
<table xmlns="http://schemas.openxmlformats.org/spreadsheetml/2006/main" id="186" name="Grass_24" displayName="Grass_24" ref="A11:D26" totalsRowShown="0" headerRowDxfId="4927" dataDxfId="4925" headerRowBorderDxfId="4926" tableBorderDxfId="4924" headerRowCellStyle="40% - Accent6">
  <autoFilter ref="A11:D26"/>
  <tableColumns count="4">
    <tableColumn id="1" name="Expense" dataDxfId="4923"/>
    <tableColumn id="2" name="Description" dataDxfId="4922"/>
    <tableColumn id="4" name="Label Name" dataDxfId="4921"/>
    <tableColumn id="5" name="Amount" dataDxfId="4920" dataCellStyle="20% - Accent6"/>
  </tableColumns>
  <tableStyleInfo name="TableStyleLight18" showFirstColumn="0" showLastColumn="0" showRowStripes="1" showColumnStripes="0"/>
</table>
</file>

<file path=xl/tables/table187.xml><?xml version="1.0" encoding="utf-8"?>
<table xmlns="http://schemas.openxmlformats.org/spreadsheetml/2006/main" id="187" name="Tree_24" displayName="Tree_24" ref="A30:D45" totalsRowShown="0" headerRowDxfId="4919" dataDxfId="4917" headerRowBorderDxfId="4918" tableBorderDxfId="4916" headerRowCellStyle="40% - Accent6">
  <autoFilter ref="A30:D45"/>
  <tableColumns count="4">
    <tableColumn id="1" name="Expense" dataDxfId="4915"/>
    <tableColumn id="2" name="Description" dataDxfId="4914"/>
    <tableColumn id="4" name="Label Name" dataDxfId="4913"/>
    <tableColumn id="5" name="Amount" dataDxfId="4912" dataCellStyle="40% - Accent6"/>
  </tableColumns>
  <tableStyleInfo name="TableStyleLight18" showFirstColumn="0" showLastColumn="0" showRowStripes="1" showColumnStripes="0"/>
</table>
</file>

<file path=xl/tables/table188.xml><?xml version="1.0" encoding="utf-8"?>
<table xmlns="http://schemas.openxmlformats.org/spreadsheetml/2006/main" id="188" name="Pest_24" displayName="Pest_24" ref="A49:D64" totalsRowShown="0" headerRowDxfId="4911" dataDxfId="4909" headerRowBorderDxfId="4910" tableBorderDxfId="4908" headerRowCellStyle="40% - Accent6">
  <autoFilter ref="A49:D64"/>
  <tableColumns count="4">
    <tableColumn id="1" name="Expense" dataDxfId="4907"/>
    <tableColumn id="2" name="Description" dataDxfId="4906"/>
    <tableColumn id="4" name="Label Name" dataDxfId="4905"/>
    <tableColumn id="5" name="Amount" dataDxfId="4904" dataCellStyle="40% - Accent6"/>
  </tableColumns>
  <tableStyleInfo name="TableStyleLight18" showFirstColumn="0" showLastColumn="0" showRowStripes="1" showColumnStripes="0"/>
</table>
</file>

<file path=xl/tables/table189.xml><?xml version="1.0" encoding="utf-8"?>
<table xmlns="http://schemas.openxmlformats.org/spreadsheetml/2006/main" id="189" name="Garbage_24" displayName="Garbage_24" ref="A68:D83" totalsRowShown="0" headerRowDxfId="4903" dataDxfId="4901" headerRowBorderDxfId="4902" tableBorderDxfId="4900" headerRowCellStyle="40% - Accent6">
  <autoFilter ref="A68:D83"/>
  <tableColumns count="4">
    <tableColumn id="1" name="Expense" dataDxfId="4899"/>
    <tableColumn id="2" name="Description" dataDxfId="4898"/>
    <tableColumn id="4" name="Label Name" dataDxfId="4897"/>
    <tableColumn id="5" name="Amount" dataDxfId="4896" dataCellStyle="20% - Accent6"/>
  </tableColumns>
  <tableStyleInfo name="TableStyleLight18" showFirstColumn="0" showLastColumn="0" showRowStripes="1" showColumnStripes="0"/>
</table>
</file>

<file path=xl/tables/table19.xml><?xml version="1.0" encoding="utf-8"?>
<table xmlns="http://schemas.openxmlformats.org/spreadsheetml/2006/main" id="84" name="Tree_3" displayName="Tree_3" ref="A30:D45" totalsRowShown="0" headerRowDxfId="6263" dataDxfId="6261" headerRowBorderDxfId="6262" tableBorderDxfId="6260" headerRowCellStyle="40% - Accent6">
  <autoFilter ref="A30:D45"/>
  <tableColumns count="4">
    <tableColumn id="1" name="Expense" dataDxfId="6259"/>
    <tableColumn id="2" name="Description" dataDxfId="6258"/>
    <tableColumn id="4" name="Label Name" dataDxfId="6257"/>
    <tableColumn id="5" name="Amount" dataDxfId="6256" dataCellStyle="40% - Accent6"/>
  </tableColumns>
  <tableStyleInfo name="TableStyleLight18" showFirstColumn="0" showLastColumn="0" showRowStripes="1" showColumnStripes="0"/>
</table>
</file>

<file path=xl/tables/table190.xml><?xml version="1.0" encoding="utf-8"?>
<table xmlns="http://schemas.openxmlformats.org/spreadsheetml/2006/main" id="190" name="Boarding_24" displayName="Boarding_24" ref="A87:D102" totalsRowShown="0" headerRowDxfId="4895" dataDxfId="4893" headerRowBorderDxfId="4894" tableBorderDxfId="4892" headerRowCellStyle="40% - Accent6">
  <autoFilter ref="A87:D102"/>
  <tableColumns count="4">
    <tableColumn id="1" name="Expense" dataDxfId="4891"/>
    <tableColumn id="2" name="Description" dataDxfId="4890"/>
    <tableColumn id="4" name="Label Name" dataDxfId="4889"/>
    <tableColumn id="5" name="Amount" dataDxfId="4888" dataCellStyle="40% - Accent6"/>
  </tableColumns>
  <tableStyleInfo name="TableStyleLight18" showFirstColumn="0" showLastColumn="0" showRowStripes="1" showColumnStripes="0"/>
</table>
</file>

<file path=xl/tables/table191.xml><?xml version="1.0" encoding="utf-8"?>
<table xmlns="http://schemas.openxmlformats.org/spreadsheetml/2006/main" id="191" name="Fence_24" displayName="Fence_24" ref="A106:D121" totalsRowShown="0" headerRowDxfId="4887" dataDxfId="4885" headerRowBorderDxfId="4886" tableBorderDxfId="4884" headerRowCellStyle="40% - Accent6">
  <autoFilter ref="A106:D121"/>
  <tableColumns count="4">
    <tableColumn id="1" name="Expense" dataDxfId="4883"/>
    <tableColumn id="2" name="Description" dataDxfId="4882"/>
    <tableColumn id="4" name="Label Name" dataDxfId="4881"/>
    <tableColumn id="5" name="Amount" dataDxfId="4880" dataCellStyle="40% - Accent6"/>
  </tableColumns>
  <tableStyleInfo name="TableStyleLight18" showFirstColumn="0" showLastColumn="0" showRowStripes="1" showColumnStripes="0"/>
</table>
</file>

<file path=xl/tables/table192.xml><?xml version="1.0" encoding="utf-8"?>
<table xmlns="http://schemas.openxmlformats.org/spreadsheetml/2006/main" id="192" name="Demolition_24" displayName="Demolition_24" ref="A125:D140" totalsRowShown="0" headerRowDxfId="4879" dataDxfId="4877" headerRowBorderDxfId="4878" tableBorderDxfId="4876" headerRowCellStyle="40% - Accent6">
  <autoFilter ref="A125:D140"/>
  <tableColumns count="4">
    <tableColumn id="1" name="Expense" dataDxfId="4875"/>
    <tableColumn id="2" name="Description" dataDxfId="4874"/>
    <tableColumn id="4" name="Label Name" dataDxfId="4873"/>
    <tableColumn id="5" name="Amount" dataDxfId="4872" dataCellStyle="40% - Accent6"/>
  </tableColumns>
  <tableStyleInfo name="TableStyleLight18" showFirstColumn="0" showLastColumn="0" showRowStripes="1" showColumnStripes="0"/>
</table>
</file>

<file path=xl/tables/table193.xml><?xml version="1.0" encoding="utf-8"?>
<table xmlns="http://schemas.openxmlformats.org/spreadsheetml/2006/main" id="193" name="Rehab_24" displayName="Rehab_24" ref="A144:D159" totalsRowShown="0" headerRowDxfId="4871" dataDxfId="4869" headerRowBorderDxfId="4870" tableBorderDxfId="4868" headerRowCellStyle="40% - Accent6">
  <autoFilter ref="A144:D159"/>
  <tableColumns count="4">
    <tableColumn id="1" name="Expense" dataDxfId="4867"/>
    <tableColumn id="2" name="Description" dataDxfId="4866"/>
    <tableColumn id="4" name="Label Name" dataDxfId="4865"/>
    <tableColumn id="5" name="Amount" dataDxfId="4864" dataCellStyle="40% - Accent6"/>
  </tableColumns>
  <tableStyleInfo name="TableStyleLight18" showFirstColumn="0" showLastColumn="0" showRowStripes="1" showColumnStripes="0"/>
</table>
</file>

<file path=xl/tables/table194.xml><?xml version="1.0" encoding="utf-8"?>
<table xmlns="http://schemas.openxmlformats.org/spreadsheetml/2006/main" id="194" name="Grass_25" displayName="Grass_25" ref="A11:D26" totalsRowShown="0" headerRowDxfId="4863" dataDxfId="4861" headerRowBorderDxfId="4862" tableBorderDxfId="4860" headerRowCellStyle="40% - Accent6">
  <autoFilter ref="A11:D26"/>
  <tableColumns count="4">
    <tableColumn id="1" name="Expense" dataDxfId="4859"/>
    <tableColumn id="2" name="Description" dataDxfId="4858"/>
    <tableColumn id="4" name="Label Name" dataDxfId="4857"/>
    <tableColumn id="5" name="Amount" dataDxfId="4856" dataCellStyle="20% - Accent6"/>
  </tableColumns>
  <tableStyleInfo name="TableStyleLight18" showFirstColumn="0" showLastColumn="0" showRowStripes="1" showColumnStripes="0"/>
</table>
</file>

<file path=xl/tables/table195.xml><?xml version="1.0" encoding="utf-8"?>
<table xmlns="http://schemas.openxmlformats.org/spreadsheetml/2006/main" id="195" name="Tree_25" displayName="Tree_25" ref="A30:D45" totalsRowShown="0" headerRowDxfId="4855" dataDxfId="4853" headerRowBorderDxfId="4854" tableBorderDxfId="4852" headerRowCellStyle="40% - Accent6">
  <autoFilter ref="A30:D45"/>
  <tableColumns count="4">
    <tableColumn id="1" name="Expense" dataDxfId="4851"/>
    <tableColumn id="2" name="Description" dataDxfId="4850"/>
    <tableColumn id="4" name="Label Name" dataDxfId="4849"/>
    <tableColumn id="5" name="Amount" dataDxfId="4848" dataCellStyle="40% - Accent6"/>
  </tableColumns>
  <tableStyleInfo name="TableStyleLight18" showFirstColumn="0" showLastColumn="0" showRowStripes="1" showColumnStripes="0"/>
</table>
</file>

<file path=xl/tables/table196.xml><?xml version="1.0" encoding="utf-8"?>
<table xmlns="http://schemas.openxmlformats.org/spreadsheetml/2006/main" id="196" name="Pest_25" displayName="Pest_25" ref="A49:D64" totalsRowShown="0" headerRowDxfId="4847" dataDxfId="4845" headerRowBorderDxfId="4846" tableBorderDxfId="4844" headerRowCellStyle="40% - Accent6">
  <autoFilter ref="A49:D64"/>
  <tableColumns count="4">
    <tableColumn id="1" name="Expense" dataDxfId="4843"/>
    <tableColumn id="2" name="Description" dataDxfId="4842"/>
    <tableColumn id="4" name="Label Name" dataDxfId="4841"/>
    <tableColumn id="5" name="Amount" dataDxfId="4840" dataCellStyle="40% - Accent6"/>
  </tableColumns>
  <tableStyleInfo name="TableStyleLight18" showFirstColumn="0" showLastColumn="0" showRowStripes="1" showColumnStripes="0"/>
</table>
</file>

<file path=xl/tables/table197.xml><?xml version="1.0" encoding="utf-8"?>
<table xmlns="http://schemas.openxmlformats.org/spreadsheetml/2006/main" id="197" name="Garbage_25" displayName="Garbage_25" ref="A68:D83" totalsRowShown="0" headerRowDxfId="4839" dataDxfId="4837" headerRowBorderDxfId="4838" tableBorderDxfId="4836" headerRowCellStyle="40% - Accent6">
  <autoFilter ref="A68:D83"/>
  <tableColumns count="4">
    <tableColumn id="1" name="Expense" dataDxfId="4835"/>
    <tableColumn id="2" name="Description" dataDxfId="4834"/>
    <tableColumn id="4" name="Label Name" dataDxfId="4833"/>
    <tableColumn id="5" name="Amount" dataDxfId="4832" dataCellStyle="20% - Accent6"/>
  </tableColumns>
  <tableStyleInfo name="TableStyleLight18" showFirstColumn="0" showLastColumn="0" showRowStripes="1" showColumnStripes="0"/>
</table>
</file>

<file path=xl/tables/table198.xml><?xml version="1.0" encoding="utf-8"?>
<table xmlns="http://schemas.openxmlformats.org/spreadsheetml/2006/main" id="198" name="Boarding_25" displayName="Boarding_25" ref="A87:D102" totalsRowShown="0" headerRowDxfId="4831" dataDxfId="4829" headerRowBorderDxfId="4830" tableBorderDxfId="4828" headerRowCellStyle="40% - Accent6">
  <autoFilter ref="A87:D102"/>
  <tableColumns count="4">
    <tableColumn id="1" name="Expense" dataDxfId="4827"/>
    <tableColumn id="2" name="Description" dataDxfId="4826"/>
    <tableColumn id="4" name="Label Name" dataDxfId="4825"/>
    <tableColumn id="5" name="Amount" dataDxfId="4824" dataCellStyle="40% - Accent6"/>
  </tableColumns>
  <tableStyleInfo name="TableStyleLight18" showFirstColumn="0" showLastColumn="0" showRowStripes="1" showColumnStripes="0"/>
</table>
</file>

<file path=xl/tables/table199.xml><?xml version="1.0" encoding="utf-8"?>
<table xmlns="http://schemas.openxmlformats.org/spreadsheetml/2006/main" id="199" name="Fence_25" displayName="Fence_25" ref="A106:D121" totalsRowShown="0" headerRowDxfId="4823" dataDxfId="4821" headerRowBorderDxfId="4822" tableBorderDxfId="4820" headerRowCellStyle="40% - Accent6">
  <autoFilter ref="A106:D121"/>
  <tableColumns count="4">
    <tableColumn id="1" name="Expense" dataDxfId="4819"/>
    <tableColumn id="2" name="Description" dataDxfId="4818"/>
    <tableColumn id="4" name="Label Name" dataDxfId="4817"/>
    <tableColumn id="5" name="Amount" dataDxfId="4816" dataCellStyle="40% - Accent6"/>
  </tableColumns>
  <tableStyleInfo name="TableStyleLight18" showFirstColumn="0" showLastColumn="0" showRowStripes="1" showColumnStripes="0"/>
</table>
</file>

<file path=xl/tables/table2.xml><?xml version="1.0" encoding="utf-8"?>
<table xmlns="http://schemas.openxmlformats.org/spreadsheetml/2006/main" id="2" name="Grass_1" displayName="Grass_1" ref="A11:D26" totalsRowShown="0" headerRowDxfId="6399" dataDxfId="6397" headerRowBorderDxfId="6398" tableBorderDxfId="6396" headerRowCellStyle="40% - Accent6">
  <autoFilter ref="A11:D26"/>
  <tableColumns count="4">
    <tableColumn id="1" name="Expense" dataDxfId="6395"/>
    <tableColumn id="2" name="Description" dataDxfId="6394"/>
    <tableColumn id="4" name="Label Name" dataDxfId="6393"/>
    <tableColumn id="5" name="Amount" dataDxfId="6392" dataCellStyle="20% - Accent6"/>
  </tableColumns>
  <tableStyleInfo name="TableStyleLight18" showFirstColumn="0" showLastColumn="0" showRowStripes="1" showColumnStripes="0"/>
</table>
</file>

<file path=xl/tables/table20.xml><?xml version="1.0" encoding="utf-8"?>
<table xmlns="http://schemas.openxmlformats.org/spreadsheetml/2006/main" id="85" name="Pest_3" displayName="Pest_3" ref="A49:D64" totalsRowShown="0" headerRowDxfId="6255" dataDxfId="6253" headerRowBorderDxfId="6254" tableBorderDxfId="6252" headerRowCellStyle="40% - Accent6">
  <autoFilter ref="A49:D64"/>
  <tableColumns count="4">
    <tableColumn id="1" name="Expense" dataDxfId="6251"/>
    <tableColumn id="2" name="Description" dataDxfId="6250"/>
    <tableColumn id="4" name="Label Name" dataDxfId="6249"/>
    <tableColumn id="5" name="Amount" dataDxfId="6248" dataCellStyle="40% - Accent6"/>
  </tableColumns>
  <tableStyleInfo name="TableStyleLight18" showFirstColumn="0" showLastColumn="0" showRowStripes="1" showColumnStripes="0"/>
</table>
</file>

<file path=xl/tables/table200.xml><?xml version="1.0" encoding="utf-8"?>
<table xmlns="http://schemas.openxmlformats.org/spreadsheetml/2006/main" id="200" name="Demolition_25" displayName="Demolition_25" ref="A125:D140" totalsRowShown="0" headerRowDxfId="4815" dataDxfId="4813" headerRowBorderDxfId="4814" tableBorderDxfId="4812" headerRowCellStyle="40% - Accent6">
  <autoFilter ref="A125:D140"/>
  <tableColumns count="4">
    <tableColumn id="1" name="Expense" dataDxfId="4811"/>
    <tableColumn id="2" name="Description" dataDxfId="4810"/>
    <tableColumn id="4" name="Label Name" dataDxfId="4809"/>
    <tableColumn id="5" name="Amount" dataDxfId="4808" dataCellStyle="40% - Accent6"/>
  </tableColumns>
  <tableStyleInfo name="TableStyleLight18" showFirstColumn="0" showLastColumn="0" showRowStripes="1" showColumnStripes="0"/>
</table>
</file>

<file path=xl/tables/table201.xml><?xml version="1.0" encoding="utf-8"?>
<table xmlns="http://schemas.openxmlformats.org/spreadsheetml/2006/main" id="201" name="Rehab_25" displayName="Rehab_25" ref="A144:D159" totalsRowShown="0" headerRowDxfId="4807" dataDxfId="4805" headerRowBorderDxfId="4806" tableBorderDxfId="4804" headerRowCellStyle="40% - Accent6">
  <autoFilter ref="A144:D159"/>
  <tableColumns count="4">
    <tableColumn id="1" name="Expense" dataDxfId="4803"/>
    <tableColumn id="2" name="Description" dataDxfId="4802"/>
    <tableColumn id="4" name="Label Name" dataDxfId="4801"/>
    <tableColumn id="5" name="Amount" dataDxfId="4800" dataCellStyle="40% - Accent6"/>
  </tableColumns>
  <tableStyleInfo name="TableStyleLight18" showFirstColumn="0" showLastColumn="0" showRowStripes="1" showColumnStripes="0"/>
</table>
</file>

<file path=xl/tables/table202.xml><?xml version="1.0" encoding="utf-8"?>
<table xmlns="http://schemas.openxmlformats.org/spreadsheetml/2006/main" id="202" name="Grass_26" displayName="Grass_26" ref="A11:D26" totalsRowShown="0" headerRowDxfId="4799" dataDxfId="4797" headerRowBorderDxfId="4798" tableBorderDxfId="4796" headerRowCellStyle="40% - Accent6">
  <autoFilter ref="A11:D26"/>
  <tableColumns count="4">
    <tableColumn id="1" name="Expense" dataDxfId="4795"/>
    <tableColumn id="2" name="Description" dataDxfId="4794"/>
    <tableColumn id="4" name="Label Name" dataDxfId="4793"/>
    <tableColumn id="5" name="Amount" dataDxfId="4792" dataCellStyle="20% - Accent6"/>
  </tableColumns>
  <tableStyleInfo name="TableStyleLight18" showFirstColumn="0" showLastColumn="0" showRowStripes="1" showColumnStripes="0"/>
</table>
</file>

<file path=xl/tables/table203.xml><?xml version="1.0" encoding="utf-8"?>
<table xmlns="http://schemas.openxmlformats.org/spreadsheetml/2006/main" id="203" name="Tree_26" displayName="Tree_26" ref="A30:D45" totalsRowShown="0" headerRowDxfId="4791" dataDxfId="4789" headerRowBorderDxfId="4790" tableBorderDxfId="4788" headerRowCellStyle="40% - Accent6">
  <autoFilter ref="A30:D45"/>
  <tableColumns count="4">
    <tableColumn id="1" name="Expense" dataDxfId="4787"/>
    <tableColumn id="2" name="Description" dataDxfId="4786"/>
    <tableColumn id="4" name="Label Name" dataDxfId="4785"/>
    <tableColumn id="5" name="Amount" dataDxfId="4784" dataCellStyle="40% - Accent6"/>
  </tableColumns>
  <tableStyleInfo name="TableStyleLight18" showFirstColumn="0" showLastColumn="0" showRowStripes="1" showColumnStripes="0"/>
</table>
</file>

<file path=xl/tables/table204.xml><?xml version="1.0" encoding="utf-8"?>
<table xmlns="http://schemas.openxmlformats.org/spreadsheetml/2006/main" id="204" name="Pest_26" displayName="Pest_26" ref="A49:D64" totalsRowShown="0" headerRowDxfId="4783" dataDxfId="4781" headerRowBorderDxfId="4782" tableBorderDxfId="4780" headerRowCellStyle="40% - Accent6">
  <autoFilter ref="A49:D64"/>
  <tableColumns count="4">
    <tableColumn id="1" name="Expense" dataDxfId="4779"/>
    <tableColumn id="2" name="Description" dataDxfId="4778"/>
    <tableColumn id="4" name="Label Name" dataDxfId="4777"/>
    <tableColumn id="5" name="Amount" dataDxfId="4776" dataCellStyle="40% - Accent6"/>
  </tableColumns>
  <tableStyleInfo name="TableStyleLight18" showFirstColumn="0" showLastColumn="0" showRowStripes="1" showColumnStripes="0"/>
</table>
</file>

<file path=xl/tables/table205.xml><?xml version="1.0" encoding="utf-8"?>
<table xmlns="http://schemas.openxmlformats.org/spreadsheetml/2006/main" id="205" name="Garbage_26" displayName="Garbage_26" ref="A68:D83" totalsRowShown="0" headerRowDxfId="4775" dataDxfId="4773" headerRowBorderDxfId="4774" tableBorderDxfId="4772" headerRowCellStyle="40% - Accent6">
  <autoFilter ref="A68:D83"/>
  <tableColumns count="4">
    <tableColumn id="1" name="Expense" dataDxfId="4771"/>
    <tableColumn id="2" name="Description" dataDxfId="4770"/>
    <tableColumn id="4" name="Label Name" dataDxfId="4769"/>
    <tableColumn id="5" name="Amount" dataDxfId="4768" dataCellStyle="20% - Accent6"/>
  </tableColumns>
  <tableStyleInfo name="TableStyleLight18" showFirstColumn="0" showLastColumn="0" showRowStripes="1" showColumnStripes="0"/>
</table>
</file>

<file path=xl/tables/table206.xml><?xml version="1.0" encoding="utf-8"?>
<table xmlns="http://schemas.openxmlformats.org/spreadsheetml/2006/main" id="206" name="Boarding_26" displayName="Boarding_26" ref="A87:D102" totalsRowShown="0" headerRowDxfId="4767" dataDxfId="4765" headerRowBorderDxfId="4766" tableBorderDxfId="4764" headerRowCellStyle="40% - Accent6">
  <autoFilter ref="A87:D102"/>
  <tableColumns count="4">
    <tableColumn id="1" name="Expense" dataDxfId="4763"/>
    <tableColumn id="2" name="Description" dataDxfId="4762"/>
    <tableColumn id="4" name="Label Name" dataDxfId="4761"/>
    <tableColumn id="5" name="Amount" dataDxfId="4760" dataCellStyle="40% - Accent6"/>
  </tableColumns>
  <tableStyleInfo name="TableStyleLight18" showFirstColumn="0" showLastColumn="0" showRowStripes="1" showColumnStripes="0"/>
</table>
</file>

<file path=xl/tables/table207.xml><?xml version="1.0" encoding="utf-8"?>
<table xmlns="http://schemas.openxmlformats.org/spreadsheetml/2006/main" id="207" name="Fence_26" displayName="Fence_26" ref="A106:D121" totalsRowShown="0" headerRowDxfId="4759" dataDxfId="4757" headerRowBorderDxfId="4758" tableBorderDxfId="4756" headerRowCellStyle="40% - Accent6">
  <autoFilter ref="A106:D121"/>
  <tableColumns count="4">
    <tableColumn id="1" name="Expense" dataDxfId="4755"/>
    <tableColumn id="2" name="Description" dataDxfId="4754"/>
    <tableColumn id="4" name="Label Name" dataDxfId="4753"/>
    <tableColumn id="5" name="Amount" dataDxfId="4752" dataCellStyle="40% - Accent6"/>
  </tableColumns>
  <tableStyleInfo name="TableStyleLight18" showFirstColumn="0" showLastColumn="0" showRowStripes="1" showColumnStripes="0"/>
</table>
</file>

<file path=xl/tables/table208.xml><?xml version="1.0" encoding="utf-8"?>
<table xmlns="http://schemas.openxmlformats.org/spreadsheetml/2006/main" id="208" name="Demolition_26" displayName="Demolition_26" ref="A125:D140" totalsRowShown="0" headerRowDxfId="4751" dataDxfId="4749" headerRowBorderDxfId="4750" tableBorderDxfId="4748" headerRowCellStyle="40% - Accent6">
  <autoFilter ref="A125:D140"/>
  <tableColumns count="4">
    <tableColumn id="1" name="Expense" dataDxfId="4747"/>
    <tableColumn id="2" name="Description" dataDxfId="4746"/>
    <tableColumn id="4" name="Label Name" dataDxfId="4745"/>
    <tableColumn id="5" name="Amount" dataDxfId="4744" dataCellStyle="40% - Accent6"/>
  </tableColumns>
  <tableStyleInfo name="TableStyleLight18" showFirstColumn="0" showLastColumn="0" showRowStripes="1" showColumnStripes="0"/>
</table>
</file>

<file path=xl/tables/table209.xml><?xml version="1.0" encoding="utf-8"?>
<table xmlns="http://schemas.openxmlformats.org/spreadsheetml/2006/main" id="209" name="Rehab_26" displayName="Rehab_26" ref="A144:D159" totalsRowShown="0" headerRowDxfId="4743" dataDxfId="4741" headerRowBorderDxfId="4742" tableBorderDxfId="4740" headerRowCellStyle="40% - Accent6">
  <autoFilter ref="A144:D159"/>
  <tableColumns count="4">
    <tableColumn id="1" name="Expense" dataDxfId="4739"/>
    <tableColumn id="2" name="Description" dataDxfId="4738"/>
    <tableColumn id="4" name="Label Name" dataDxfId="4737"/>
    <tableColumn id="5" name="Amount" dataDxfId="4736" dataCellStyle="40% - Accent6"/>
  </tableColumns>
  <tableStyleInfo name="TableStyleLight18" showFirstColumn="0" showLastColumn="0" showRowStripes="1" showColumnStripes="0"/>
</table>
</file>

<file path=xl/tables/table21.xml><?xml version="1.0" encoding="utf-8"?>
<table xmlns="http://schemas.openxmlformats.org/spreadsheetml/2006/main" id="86" name="Garbage_3" displayName="Garbage_3" ref="A68:D83" totalsRowShown="0" headerRowDxfId="6247" dataDxfId="6245" headerRowBorderDxfId="6246" tableBorderDxfId="6244" headerRowCellStyle="40% - Accent6">
  <autoFilter ref="A68:D83"/>
  <tableColumns count="4">
    <tableColumn id="1" name="Expense" dataDxfId="6243"/>
    <tableColumn id="2" name="Description" dataDxfId="6242"/>
    <tableColumn id="4" name="Label Name" dataDxfId="6241"/>
    <tableColumn id="5" name="Amount" dataDxfId="6240" dataCellStyle="20% - Accent6"/>
  </tableColumns>
  <tableStyleInfo name="TableStyleLight18" showFirstColumn="0" showLastColumn="0" showRowStripes="1" showColumnStripes="0"/>
</table>
</file>

<file path=xl/tables/table210.xml><?xml version="1.0" encoding="utf-8"?>
<table xmlns="http://schemas.openxmlformats.org/spreadsheetml/2006/main" id="210" name="Grass_27" displayName="Grass_27" ref="A11:D26" totalsRowShown="0" headerRowDxfId="4735" dataDxfId="4733" headerRowBorderDxfId="4734" tableBorderDxfId="4732" headerRowCellStyle="40% - Accent6">
  <autoFilter ref="A11:D26"/>
  <tableColumns count="4">
    <tableColumn id="1" name="Expense" dataDxfId="4731"/>
    <tableColumn id="2" name="Description" dataDxfId="4730"/>
    <tableColumn id="4" name="Label Name" dataDxfId="4729"/>
    <tableColumn id="5" name="Amount" dataDxfId="4728" dataCellStyle="20% - Accent6"/>
  </tableColumns>
  <tableStyleInfo name="TableStyleLight18" showFirstColumn="0" showLastColumn="0" showRowStripes="1" showColumnStripes="0"/>
</table>
</file>

<file path=xl/tables/table211.xml><?xml version="1.0" encoding="utf-8"?>
<table xmlns="http://schemas.openxmlformats.org/spreadsheetml/2006/main" id="211" name="Tree_27" displayName="Tree_27" ref="A30:D45" totalsRowShown="0" headerRowDxfId="4727" dataDxfId="4725" headerRowBorderDxfId="4726" tableBorderDxfId="4724" headerRowCellStyle="40% - Accent6">
  <autoFilter ref="A30:D45"/>
  <tableColumns count="4">
    <tableColumn id="1" name="Expense" dataDxfId="4723"/>
    <tableColumn id="2" name="Description" dataDxfId="4722"/>
    <tableColumn id="4" name="Label Name" dataDxfId="4721"/>
    <tableColumn id="5" name="Amount" dataDxfId="4720" dataCellStyle="40% - Accent6"/>
  </tableColumns>
  <tableStyleInfo name="TableStyleLight18" showFirstColumn="0" showLastColumn="0" showRowStripes="1" showColumnStripes="0"/>
</table>
</file>

<file path=xl/tables/table212.xml><?xml version="1.0" encoding="utf-8"?>
<table xmlns="http://schemas.openxmlformats.org/spreadsheetml/2006/main" id="212" name="Pest_27" displayName="Pest_27" ref="A49:D64" totalsRowShown="0" headerRowDxfId="4719" dataDxfId="4717" headerRowBorderDxfId="4718" tableBorderDxfId="4716" headerRowCellStyle="40% - Accent6">
  <autoFilter ref="A49:D64"/>
  <tableColumns count="4">
    <tableColumn id="1" name="Expense" dataDxfId="4715"/>
    <tableColumn id="2" name="Description" dataDxfId="4714"/>
    <tableColumn id="4" name="Label Name" dataDxfId="4713"/>
    <tableColumn id="5" name="Amount" dataDxfId="4712" dataCellStyle="40% - Accent6"/>
  </tableColumns>
  <tableStyleInfo name="TableStyleLight18" showFirstColumn="0" showLastColumn="0" showRowStripes="1" showColumnStripes="0"/>
</table>
</file>

<file path=xl/tables/table213.xml><?xml version="1.0" encoding="utf-8"?>
<table xmlns="http://schemas.openxmlformats.org/spreadsheetml/2006/main" id="213" name="Garbage_27" displayName="Garbage_27" ref="A68:D83" totalsRowShown="0" headerRowDxfId="4711" dataDxfId="4709" headerRowBorderDxfId="4710" tableBorderDxfId="4708" headerRowCellStyle="40% - Accent6">
  <autoFilter ref="A68:D83"/>
  <tableColumns count="4">
    <tableColumn id="1" name="Expense" dataDxfId="4707"/>
    <tableColumn id="2" name="Description" dataDxfId="4706"/>
    <tableColumn id="4" name="Label Name" dataDxfId="4705"/>
    <tableColumn id="5" name="Amount" dataDxfId="4704" dataCellStyle="20% - Accent6"/>
  </tableColumns>
  <tableStyleInfo name="TableStyleLight18" showFirstColumn="0" showLastColumn="0" showRowStripes="1" showColumnStripes="0"/>
</table>
</file>

<file path=xl/tables/table214.xml><?xml version="1.0" encoding="utf-8"?>
<table xmlns="http://schemas.openxmlformats.org/spreadsheetml/2006/main" id="214" name="Boarding_27" displayName="Boarding_27" ref="A87:D102" totalsRowShown="0" headerRowDxfId="4703" dataDxfId="4701" headerRowBorderDxfId="4702" tableBorderDxfId="4700" headerRowCellStyle="40% - Accent6">
  <autoFilter ref="A87:D102"/>
  <tableColumns count="4">
    <tableColumn id="1" name="Expense" dataDxfId="4699"/>
    <tableColumn id="2" name="Description" dataDxfId="4698"/>
    <tableColumn id="4" name="Label Name" dataDxfId="4697"/>
    <tableColumn id="5" name="Amount" dataDxfId="4696" dataCellStyle="40% - Accent6"/>
  </tableColumns>
  <tableStyleInfo name="TableStyleLight18" showFirstColumn="0" showLastColumn="0" showRowStripes="1" showColumnStripes="0"/>
</table>
</file>

<file path=xl/tables/table215.xml><?xml version="1.0" encoding="utf-8"?>
<table xmlns="http://schemas.openxmlformats.org/spreadsheetml/2006/main" id="215" name="Fence_27" displayName="Fence_27" ref="A106:D121" totalsRowShown="0" headerRowDxfId="4695" dataDxfId="4693" headerRowBorderDxfId="4694" tableBorderDxfId="4692" headerRowCellStyle="40% - Accent6">
  <autoFilter ref="A106:D121"/>
  <tableColumns count="4">
    <tableColumn id="1" name="Expense" dataDxfId="4691"/>
    <tableColumn id="2" name="Description" dataDxfId="4690"/>
    <tableColumn id="4" name="Label Name" dataDxfId="4689"/>
    <tableColumn id="5" name="Amount" dataDxfId="4688" dataCellStyle="40% - Accent6"/>
  </tableColumns>
  <tableStyleInfo name="TableStyleLight18" showFirstColumn="0" showLastColumn="0" showRowStripes="1" showColumnStripes="0"/>
</table>
</file>

<file path=xl/tables/table216.xml><?xml version="1.0" encoding="utf-8"?>
<table xmlns="http://schemas.openxmlformats.org/spreadsheetml/2006/main" id="216" name="Demolition_27" displayName="Demolition_27" ref="A125:D140" totalsRowShown="0" headerRowDxfId="4687" dataDxfId="4685" headerRowBorderDxfId="4686" tableBorderDxfId="4684" headerRowCellStyle="40% - Accent6">
  <autoFilter ref="A125:D140"/>
  <tableColumns count="4">
    <tableColumn id="1" name="Expense" dataDxfId="4683"/>
    <tableColumn id="2" name="Description" dataDxfId="4682"/>
    <tableColumn id="4" name="Label Name" dataDxfId="4681"/>
    <tableColumn id="5" name="Amount" dataDxfId="4680" dataCellStyle="40% - Accent6"/>
  </tableColumns>
  <tableStyleInfo name="TableStyleLight18" showFirstColumn="0" showLastColumn="0" showRowStripes="1" showColumnStripes="0"/>
</table>
</file>

<file path=xl/tables/table217.xml><?xml version="1.0" encoding="utf-8"?>
<table xmlns="http://schemas.openxmlformats.org/spreadsheetml/2006/main" id="217" name="Rehab_27" displayName="Rehab_27" ref="A144:D159" totalsRowShown="0" headerRowDxfId="4679" dataDxfId="4677" headerRowBorderDxfId="4678" tableBorderDxfId="4676" headerRowCellStyle="40% - Accent6">
  <autoFilter ref="A144:D159"/>
  <tableColumns count="4">
    <tableColumn id="1" name="Expense" dataDxfId="4675"/>
    <tableColumn id="2" name="Description" dataDxfId="4674"/>
    <tableColumn id="4" name="Label Name" dataDxfId="4673"/>
    <tableColumn id="5" name="Amount" dataDxfId="4672" dataCellStyle="40% - Accent6"/>
  </tableColumns>
  <tableStyleInfo name="TableStyleLight18" showFirstColumn="0" showLastColumn="0" showRowStripes="1" showColumnStripes="0"/>
</table>
</file>

<file path=xl/tables/table218.xml><?xml version="1.0" encoding="utf-8"?>
<table xmlns="http://schemas.openxmlformats.org/spreadsheetml/2006/main" id="218" name="Grass_28" displayName="Grass_28" ref="A11:D26" totalsRowShown="0" headerRowDxfId="4671" dataDxfId="4669" headerRowBorderDxfId="4670" tableBorderDxfId="4668" headerRowCellStyle="40% - Accent6">
  <autoFilter ref="A11:D26"/>
  <tableColumns count="4">
    <tableColumn id="1" name="Expense" dataDxfId="4667"/>
    <tableColumn id="2" name="Description" dataDxfId="4666"/>
    <tableColumn id="4" name="Label Name" dataDxfId="4665"/>
    <tableColumn id="5" name="Amount" dataDxfId="4664" dataCellStyle="20% - Accent6"/>
  </tableColumns>
  <tableStyleInfo name="TableStyleLight18" showFirstColumn="0" showLastColumn="0" showRowStripes="1" showColumnStripes="0"/>
</table>
</file>

<file path=xl/tables/table219.xml><?xml version="1.0" encoding="utf-8"?>
<table xmlns="http://schemas.openxmlformats.org/spreadsheetml/2006/main" id="219" name="Tree_28" displayName="Tree_28" ref="A30:D45" totalsRowShown="0" headerRowDxfId="4663" dataDxfId="4661" headerRowBorderDxfId="4662" tableBorderDxfId="4660" headerRowCellStyle="40% - Accent6">
  <autoFilter ref="A30:D45"/>
  <tableColumns count="4">
    <tableColumn id="1" name="Expense" dataDxfId="4659"/>
    <tableColumn id="2" name="Description" dataDxfId="4658"/>
    <tableColumn id="4" name="Label Name" dataDxfId="4657"/>
    <tableColumn id="5" name="Amount" dataDxfId="4656" dataCellStyle="40% - Accent6"/>
  </tableColumns>
  <tableStyleInfo name="TableStyleLight18" showFirstColumn="0" showLastColumn="0" showRowStripes="1" showColumnStripes="0"/>
</table>
</file>

<file path=xl/tables/table22.xml><?xml version="1.0" encoding="utf-8"?>
<table xmlns="http://schemas.openxmlformats.org/spreadsheetml/2006/main" id="87" name="Boarding_3" displayName="Boarding_3" ref="A87:D102" totalsRowShown="0" headerRowDxfId="6239" dataDxfId="6237" headerRowBorderDxfId="6238" tableBorderDxfId="6236" headerRowCellStyle="40% - Accent6">
  <autoFilter ref="A87:D102"/>
  <tableColumns count="4">
    <tableColumn id="1" name="Expense" dataDxfId="6235"/>
    <tableColumn id="2" name="Description" dataDxfId="6234"/>
    <tableColumn id="4" name="Label Name" dataDxfId="6233"/>
    <tableColumn id="5" name="Amount" dataDxfId="6232" dataCellStyle="40% - Accent6"/>
  </tableColumns>
  <tableStyleInfo name="TableStyleLight18" showFirstColumn="0" showLastColumn="0" showRowStripes="1" showColumnStripes="0"/>
</table>
</file>

<file path=xl/tables/table220.xml><?xml version="1.0" encoding="utf-8"?>
<table xmlns="http://schemas.openxmlformats.org/spreadsheetml/2006/main" id="220" name="Pest_28" displayName="Pest_28" ref="A49:D64" totalsRowShown="0" headerRowDxfId="4655" dataDxfId="4653" headerRowBorderDxfId="4654" tableBorderDxfId="4652" headerRowCellStyle="40% - Accent6">
  <autoFilter ref="A49:D64"/>
  <tableColumns count="4">
    <tableColumn id="1" name="Expense" dataDxfId="4651"/>
    <tableColumn id="2" name="Description" dataDxfId="4650"/>
    <tableColumn id="4" name="Label Name" dataDxfId="4649"/>
    <tableColumn id="5" name="Amount" dataDxfId="4648" dataCellStyle="40% - Accent6"/>
  </tableColumns>
  <tableStyleInfo name="TableStyleLight18" showFirstColumn="0" showLastColumn="0" showRowStripes="1" showColumnStripes="0"/>
</table>
</file>

<file path=xl/tables/table221.xml><?xml version="1.0" encoding="utf-8"?>
<table xmlns="http://schemas.openxmlformats.org/spreadsheetml/2006/main" id="221" name="Garbage_28" displayName="Garbage_28" ref="A68:D83" totalsRowShown="0" headerRowDxfId="4647" dataDxfId="4645" headerRowBorderDxfId="4646" tableBorderDxfId="4644" headerRowCellStyle="40% - Accent6">
  <autoFilter ref="A68:D83"/>
  <tableColumns count="4">
    <tableColumn id="1" name="Expense" dataDxfId="4643"/>
    <tableColumn id="2" name="Description" dataDxfId="4642"/>
    <tableColumn id="4" name="Label Name" dataDxfId="4641"/>
    <tableColumn id="5" name="Amount" dataDxfId="4640" dataCellStyle="20% - Accent6"/>
  </tableColumns>
  <tableStyleInfo name="TableStyleLight18" showFirstColumn="0" showLastColumn="0" showRowStripes="1" showColumnStripes="0"/>
</table>
</file>

<file path=xl/tables/table222.xml><?xml version="1.0" encoding="utf-8"?>
<table xmlns="http://schemas.openxmlformats.org/spreadsheetml/2006/main" id="222" name="Boarding_28" displayName="Boarding_28" ref="A87:D102" totalsRowShown="0" headerRowDxfId="4639" dataDxfId="4637" headerRowBorderDxfId="4638" tableBorderDxfId="4636" headerRowCellStyle="40% - Accent6">
  <autoFilter ref="A87:D102"/>
  <tableColumns count="4">
    <tableColumn id="1" name="Expense" dataDxfId="4635"/>
    <tableColumn id="2" name="Description" dataDxfId="4634"/>
    <tableColumn id="4" name="Label Name" dataDxfId="4633"/>
    <tableColumn id="5" name="Amount" dataDxfId="4632" dataCellStyle="40% - Accent6"/>
  </tableColumns>
  <tableStyleInfo name="TableStyleLight18" showFirstColumn="0" showLastColumn="0" showRowStripes="1" showColumnStripes="0"/>
</table>
</file>

<file path=xl/tables/table223.xml><?xml version="1.0" encoding="utf-8"?>
<table xmlns="http://schemas.openxmlformats.org/spreadsheetml/2006/main" id="223" name="Fence_28" displayName="Fence_28" ref="A106:D121" totalsRowShown="0" headerRowDxfId="4631" dataDxfId="4629" headerRowBorderDxfId="4630" tableBorderDxfId="4628" headerRowCellStyle="40% - Accent6">
  <autoFilter ref="A106:D121"/>
  <tableColumns count="4">
    <tableColumn id="1" name="Expense" dataDxfId="4627"/>
    <tableColumn id="2" name="Description" dataDxfId="4626"/>
    <tableColumn id="4" name="Label Name" dataDxfId="4625"/>
    <tableColumn id="5" name="Amount" dataDxfId="4624" dataCellStyle="40% - Accent6"/>
  </tableColumns>
  <tableStyleInfo name="TableStyleLight18" showFirstColumn="0" showLastColumn="0" showRowStripes="1" showColumnStripes="0"/>
</table>
</file>

<file path=xl/tables/table224.xml><?xml version="1.0" encoding="utf-8"?>
<table xmlns="http://schemas.openxmlformats.org/spreadsheetml/2006/main" id="224" name="Demolition_28" displayName="Demolition_28" ref="A125:D140" totalsRowShown="0" headerRowDxfId="4623" dataDxfId="4621" headerRowBorderDxfId="4622" tableBorderDxfId="4620" headerRowCellStyle="40% - Accent6">
  <autoFilter ref="A125:D140"/>
  <tableColumns count="4">
    <tableColumn id="1" name="Expense" dataDxfId="4619"/>
    <tableColumn id="2" name="Description" dataDxfId="4618"/>
    <tableColumn id="4" name="Label Name" dataDxfId="4617"/>
    <tableColumn id="5" name="Amount" dataDxfId="4616" dataCellStyle="40% - Accent6"/>
  </tableColumns>
  <tableStyleInfo name="TableStyleLight18" showFirstColumn="0" showLastColumn="0" showRowStripes="1" showColumnStripes="0"/>
</table>
</file>

<file path=xl/tables/table225.xml><?xml version="1.0" encoding="utf-8"?>
<table xmlns="http://schemas.openxmlformats.org/spreadsheetml/2006/main" id="225" name="Rehab_28" displayName="Rehab_28" ref="A144:D159" totalsRowShown="0" headerRowDxfId="4615" dataDxfId="4613" headerRowBorderDxfId="4614" tableBorderDxfId="4612" headerRowCellStyle="40% - Accent6">
  <autoFilter ref="A144:D159"/>
  <tableColumns count="4">
    <tableColumn id="1" name="Expense" dataDxfId="4611"/>
    <tableColumn id="2" name="Description" dataDxfId="4610"/>
    <tableColumn id="4" name="Label Name" dataDxfId="4609"/>
    <tableColumn id="5" name="Amount" dataDxfId="4608" dataCellStyle="40% - Accent6"/>
  </tableColumns>
  <tableStyleInfo name="TableStyleLight18" showFirstColumn="0" showLastColumn="0" showRowStripes="1" showColumnStripes="0"/>
</table>
</file>

<file path=xl/tables/table226.xml><?xml version="1.0" encoding="utf-8"?>
<table xmlns="http://schemas.openxmlformats.org/spreadsheetml/2006/main" id="226" name="Grass_29" displayName="Grass_29" ref="A11:D26" totalsRowShown="0" headerRowDxfId="4607" dataDxfId="4605" headerRowBorderDxfId="4606" tableBorderDxfId="4604" headerRowCellStyle="40% - Accent6">
  <autoFilter ref="A11:D26"/>
  <tableColumns count="4">
    <tableColumn id="1" name="Expense" dataDxfId="4603"/>
    <tableColumn id="2" name="Description" dataDxfId="4602"/>
    <tableColumn id="4" name="Label Name" dataDxfId="4601"/>
    <tableColumn id="5" name="Amount" dataDxfId="4600" dataCellStyle="20% - Accent6"/>
  </tableColumns>
  <tableStyleInfo name="TableStyleLight18" showFirstColumn="0" showLastColumn="0" showRowStripes="1" showColumnStripes="0"/>
</table>
</file>

<file path=xl/tables/table227.xml><?xml version="1.0" encoding="utf-8"?>
<table xmlns="http://schemas.openxmlformats.org/spreadsheetml/2006/main" id="227" name="Tree_29" displayName="Tree_29" ref="A30:D45" totalsRowShown="0" headerRowDxfId="4599" dataDxfId="4597" headerRowBorderDxfId="4598" tableBorderDxfId="4596" headerRowCellStyle="40% - Accent6">
  <autoFilter ref="A30:D45"/>
  <tableColumns count="4">
    <tableColumn id="1" name="Expense" dataDxfId="4595"/>
    <tableColumn id="2" name="Description" dataDxfId="4594"/>
    <tableColumn id="4" name="Label Name" dataDxfId="4593"/>
    <tableColumn id="5" name="Amount" dataDxfId="4592" dataCellStyle="40% - Accent6"/>
  </tableColumns>
  <tableStyleInfo name="TableStyleLight18" showFirstColumn="0" showLastColumn="0" showRowStripes="1" showColumnStripes="0"/>
</table>
</file>

<file path=xl/tables/table228.xml><?xml version="1.0" encoding="utf-8"?>
<table xmlns="http://schemas.openxmlformats.org/spreadsheetml/2006/main" id="228" name="Pest_29" displayName="Pest_29" ref="A49:D64" totalsRowShown="0" headerRowDxfId="4591" dataDxfId="4589" headerRowBorderDxfId="4590" tableBorderDxfId="4588" headerRowCellStyle="40% - Accent6">
  <autoFilter ref="A49:D64"/>
  <tableColumns count="4">
    <tableColumn id="1" name="Expense" dataDxfId="4587"/>
    <tableColumn id="2" name="Description" dataDxfId="4586"/>
    <tableColumn id="4" name="Label Name" dataDxfId="4585"/>
    <tableColumn id="5" name="Amount" dataDxfId="4584" dataCellStyle="40% - Accent6"/>
  </tableColumns>
  <tableStyleInfo name="TableStyleLight18" showFirstColumn="0" showLastColumn="0" showRowStripes="1" showColumnStripes="0"/>
</table>
</file>

<file path=xl/tables/table229.xml><?xml version="1.0" encoding="utf-8"?>
<table xmlns="http://schemas.openxmlformats.org/spreadsheetml/2006/main" id="229" name="Garbage_29" displayName="Garbage_29" ref="A68:D83" totalsRowShown="0" headerRowDxfId="4583" dataDxfId="4581" headerRowBorderDxfId="4582" tableBorderDxfId="4580" headerRowCellStyle="40% - Accent6">
  <autoFilter ref="A68:D83"/>
  <tableColumns count="4">
    <tableColumn id="1" name="Expense" dataDxfId="4579"/>
    <tableColumn id="2" name="Description" dataDxfId="4578"/>
    <tableColumn id="4" name="Label Name" dataDxfId="4577"/>
    <tableColumn id="5" name="Amount" dataDxfId="4576" dataCellStyle="20% - Accent6"/>
  </tableColumns>
  <tableStyleInfo name="TableStyleLight18" showFirstColumn="0" showLastColumn="0" showRowStripes="1" showColumnStripes="0"/>
</table>
</file>

<file path=xl/tables/table23.xml><?xml version="1.0" encoding="utf-8"?>
<table xmlns="http://schemas.openxmlformats.org/spreadsheetml/2006/main" id="88" name="Fence_3" displayName="Fence_3" ref="A106:D121" totalsRowShown="0" headerRowDxfId="6231" dataDxfId="6229" headerRowBorderDxfId="6230" tableBorderDxfId="6228" headerRowCellStyle="40% - Accent6">
  <autoFilter ref="A106:D121"/>
  <tableColumns count="4">
    <tableColumn id="1" name="Expense" dataDxfId="6227"/>
    <tableColumn id="2" name="Description" dataDxfId="6226"/>
    <tableColumn id="4" name="Label Name" dataDxfId="6225"/>
    <tableColumn id="5" name="Amount" dataDxfId="6224" dataCellStyle="40% - Accent6"/>
  </tableColumns>
  <tableStyleInfo name="TableStyleLight18" showFirstColumn="0" showLastColumn="0" showRowStripes="1" showColumnStripes="0"/>
</table>
</file>

<file path=xl/tables/table230.xml><?xml version="1.0" encoding="utf-8"?>
<table xmlns="http://schemas.openxmlformats.org/spreadsheetml/2006/main" id="230" name="Boarding_29" displayName="Boarding_29" ref="A87:D102" totalsRowShown="0" headerRowDxfId="4575" dataDxfId="4573" headerRowBorderDxfId="4574" tableBorderDxfId="4572" headerRowCellStyle="40% - Accent6">
  <autoFilter ref="A87:D102"/>
  <tableColumns count="4">
    <tableColumn id="1" name="Expense" dataDxfId="4571"/>
    <tableColumn id="2" name="Description" dataDxfId="4570"/>
    <tableColumn id="4" name="Label Name" dataDxfId="4569"/>
    <tableColumn id="5" name="Amount" dataDxfId="4568" dataCellStyle="40% - Accent6"/>
  </tableColumns>
  <tableStyleInfo name="TableStyleLight18" showFirstColumn="0" showLastColumn="0" showRowStripes="1" showColumnStripes="0"/>
</table>
</file>

<file path=xl/tables/table231.xml><?xml version="1.0" encoding="utf-8"?>
<table xmlns="http://schemas.openxmlformats.org/spreadsheetml/2006/main" id="231" name="Fence_29" displayName="Fence_29" ref="A106:D121" totalsRowShown="0" headerRowDxfId="4567" dataDxfId="4565" headerRowBorderDxfId="4566" tableBorderDxfId="4564" headerRowCellStyle="40% - Accent6">
  <autoFilter ref="A106:D121"/>
  <tableColumns count="4">
    <tableColumn id="1" name="Expense" dataDxfId="4563"/>
    <tableColumn id="2" name="Description" dataDxfId="4562"/>
    <tableColumn id="4" name="Label Name" dataDxfId="4561"/>
    <tableColumn id="5" name="Amount" dataDxfId="4560" dataCellStyle="40% - Accent6"/>
  </tableColumns>
  <tableStyleInfo name="TableStyleLight18" showFirstColumn="0" showLastColumn="0" showRowStripes="1" showColumnStripes="0"/>
</table>
</file>

<file path=xl/tables/table232.xml><?xml version="1.0" encoding="utf-8"?>
<table xmlns="http://schemas.openxmlformats.org/spreadsheetml/2006/main" id="232" name="Demolition_29" displayName="Demolition_29" ref="A125:D140" totalsRowShown="0" headerRowDxfId="4559" dataDxfId="4557" headerRowBorderDxfId="4558" tableBorderDxfId="4556" headerRowCellStyle="40% - Accent6">
  <autoFilter ref="A125:D140"/>
  <tableColumns count="4">
    <tableColumn id="1" name="Expense" dataDxfId="4555"/>
    <tableColumn id="2" name="Description" dataDxfId="4554"/>
    <tableColumn id="4" name="Label Name" dataDxfId="4553"/>
    <tableColumn id="5" name="Amount" dataDxfId="4552" dataCellStyle="40% - Accent6"/>
  </tableColumns>
  <tableStyleInfo name="TableStyleLight18" showFirstColumn="0" showLastColumn="0" showRowStripes="1" showColumnStripes="0"/>
</table>
</file>

<file path=xl/tables/table233.xml><?xml version="1.0" encoding="utf-8"?>
<table xmlns="http://schemas.openxmlformats.org/spreadsheetml/2006/main" id="233" name="Rehab_29" displayName="Rehab_29" ref="A144:D159" totalsRowShown="0" headerRowDxfId="4551" dataDxfId="4549" headerRowBorderDxfId="4550" tableBorderDxfId="4548" headerRowCellStyle="40% - Accent6">
  <autoFilter ref="A144:D159"/>
  <tableColumns count="4">
    <tableColumn id="1" name="Expense" dataDxfId="4547"/>
    <tableColumn id="2" name="Description" dataDxfId="4546"/>
    <tableColumn id="4" name="Label Name" dataDxfId="4545"/>
    <tableColumn id="5" name="Amount" dataDxfId="4544" dataCellStyle="40% - Accent6"/>
  </tableColumns>
  <tableStyleInfo name="TableStyleLight18" showFirstColumn="0" showLastColumn="0" showRowStripes="1" showColumnStripes="0"/>
</table>
</file>

<file path=xl/tables/table234.xml><?xml version="1.0" encoding="utf-8"?>
<table xmlns="http://schemas.openxmlformats.org/spreadsheetml/2006/main" id="234" name="Grass_30" displayName="Grass_30" ref="A11:D26" totalsRowShown="0" headerRowDxfId="4543" dataDxfId="4541" headerRowBorderDxfId="4542" tableBorderDxfId="4540" headerRowCellStyle="40% - Accent6">
  <autoFilter ref="A11:D26"/>
  <tableColumns count="4">
    <tableColumn id="1" name="Expense" dataDxfId="4539"/>
    <tableColumn id="2" name="Description" dataDxfId="4538"/>
    <tableColumn id="4" name="Label Name" dataDxfId="4537"/>
    <tableColumn id="5" name="Amount" dataDxfId="4536" dataCellStyle="20% - Accent6"/>
  </tableColumns>
  <tableStyleInfo name="TableStyleLight18" showFirstColumn="0" showLastColumn="0" showRowStripes="1" showColumnStripes="0"/>
</table>
</file>

<file path=xl/tables/table235.xml><?xml version="1.0" encoding="utf-8"?>
<table xmlns="http://schemas.openxmlformats.org/spreadsheetml/2006/main" id="235" name="Tree_30" displayName="Tree_30" ref="A30:D45" totalsRowShown="0" headerRowDxfId="4535" dataDxfId="4533" headerRowBorderDxfId="4534" tableBorderDxfId="4532" headerRowCellStyle="40% - Accent6">
  <autoFilter ref="A30:D45"/>
  <tableColumns count="4">
    <tableColumn id="1" name="Expense" dataDxfId="4531"/>
    <tableColumn id="2" name="Description" dataDxfId="4530"/>
    <tableColumn id="4" name="Label Name" dataDxfId="4529"/>
    <tableColumn id="5" name="Amount" dataDxfId="4528" dataCellStyle="40% - Accent6"/>
  </tableColumns>
  <tableStyleInfo name="TableStyleLight18" showFirstColumn="0" showLastColumn="0" showRowStripes="1" showColumnStripes="0"/>
</table>
</file>

<file path=xl/tables/table236.xml><?xml version="1.0" encoding="utf-8"?>
<table xmlns="http://schemas.openxmlformats.org/spreadsheetml/2006/main" id="236" name="Pest_30" displayName="Pest_30" ref="A49:D64" totalsRowShown="0" headerRowDxfId="4527" dataDxfId="4525" headerRowBorderDxfId="4526" tableBorderDxfId="4524" headerRowCellStyle="40% - Accent6">
  <autoFilter ref="A49:D64"/>
  <tableColumns count="4">
    <tableColumn id="1" name="Expense" dataDxfId="4523"/>
    <tableColumn id="2" name="Description" dataDxfId="4522"/>
    <tableColumn id="4" name="Label Name" dataDxfId="4521"/>
    <tableColumn id="5" name="Amount" dataDxfId="4520" dataCellStyle="40% - Accent6"/>
  </tableColumns>
  <tableStyleInfo name="TableStyleLight18" showFirstColumn="0" showLastColumn="0" showRowStripes="1" showColumnStripes="0"/>
</table>
</file>

<file path=xl/tables/table237.xml><?xml version="1.0" encoding="utf-8"?>
<table xmlns="http://schemas.openxmlformats.org/spreadsheetml/2006/main" id="237" name="Garbage_30" displayName="Garbage_30" ref="A68:D83" totalsRowShown="0" headerRowDxfId="4519" dataDxfId="4517" headerRowBorderDxfId="4518" tableBorderDxfId="4516" headerRowCellStyle="40% - Accent6">
  <autoFilter ref="A68:D83"/>
  <tableColumns count="4">
    <tableColumn id="1" name="Expense" dataDxfId="4515"/>
    <tableColumn id="2" name="Description" dataDxfId="4514"/>
    <tableColumn id="4" name="Label Name" dataDxfId="4513"/>
    <tableColumn id="5" name="Amount" dataDxfId="4512" dataCellStyle="20% - Accent6"/>
  </tableColumns>
  <tableStyleInfo name="TableStyleLight18" showFirstColumn="0" showLastColumn="0" showRowStripes="1" showColumnStripes="0"/>
</table>
</file>

<file path=xl/tables/table238.xml><?xml version="1.0" encoding="utf-8"?>
<table xmlns="http://schemas.openxmlformats.org/spreadsheetml/2006/main" id="238" name="Boarding_30" displayName="Boarding_30" ref="A87:D102" totalsRowShown="0" headerRowDxfId="4511" dataDxfId="4509" headerRowBorderDxfId="4510" tableBorderDxfId="4508" headerRowCellStyle="40% - Accent6">
  <autoFilter ref="A87:D102"/>
  <tableColumns count="4">
    <tableColumn id="1" name="Expense" dataDxfId="4507"/>
    <tableColumn id="2" name="Description" dataDxfId="4506"/>
    <tableColumn id="4" name="Label Name" dataDxfId="4505"/>
    <tableColumn id="5" name="Amount" dataDxfId="4504" dataCellStyle="40% - Accent6"/>
  </tableColumns>
  <tableStyleInfo name="TableStyleLight18" showFirstColumn="0" showLastColumn="0" showRowStripes="1" showColumnStripes="0"/>
</table>
</file>

<file path=xl/tables/table239.xml><?xml version="1.0" encoding="utf-8"?>
<table xmlns="http://schemas.openxmlformats.org/spreadsheetml/2006/main" id="239" name="Fence_30" displayName="Fence_30" ref="A106:D121" totalsRowShown="0" headerRowDxfId="4503" dataDxfId="4501" headerRowBorderDxfId="4502" tableBorderDxfId="4500" headerRowCellStyle="40% - Accent6">
  <autoFilter ref="A106:D121"/>
  <tableColumns count="4">
    <tableColumn id="1" name="Expense" dataDxfId="4499"/>
    <tableColumn id="2" name="Description" dataDxfId="4498"/>
    <tableColumn id="4" name="Label Name" dataDxfId="4497"/>
    <tableColumn id="5" name="Amount" dataDxfId="4496" dataCellStyle="40% - Accent6"/>
  </tableColumns>
  <tableStyleInfo name="TableStyleLight18" showFirstColumn="0" showLastColumn="0" showRowStripes="1" showColumnStripes="0"/>
</table>
</file>

<file path=xl/tables/table24.xml><?xml version="1.0" encoding="utf-8"?>
<table xmlns="http://schemas.openxmlformats.org/spreadsheetml/2006/main" id="89" name="Demolition_3" displayName="Demolition_3" ref="A125:D140" totalsRowShown="0" headerRowDxfId="6223" dataDxfId="6221" headerRowBorderDxfId="6222" tableBorderDxfId="6220" headerRowCellStyle="40% - Accent6">
  <autoFilter ref="A125:D140"/>
  <tableColumns count="4">
    <tableColumn id="1" name="Expense" dataDxfId="6219"/>
    <tableColumn id="2" name="Description" dataDxfId="6218"/>
    <tableColumn id="4" name="Label Name" dataDxfId="6217"/>
    <tableColumn id="5" name="Amount" dataDxfId="6216" dataCellStyle="40% - Accent6"/>
  </tableColumns>
  <tableStyleInfo name="TableStyleLight18" showFirstColumn="0" showLastColumn="0" showRowStripes="1" showColumnStripes="0"/>
</table>
</file>

<file path=xl/tables/table240.xml><?xml version="1.0" encoding="utf-8"?>
<table xmlns="http://schemas.openxmlformats.org/spreadsheetml/2006/main" id="240" name="Demolition_30" displayName="Demolition_30" ref="A125:D140" totalsRowShown="0" headerRowDxfId="4495" dataDxfId="4493" headerRowBorderDxfId="4494" tableBorderDxfId="4492" headerRowCellStyle="40% - Accent6">
  <autoFilter ref="A125:D140"/>
  <tableColumns count="4">
    <tableColumn id="1" name="Expense" dataDxfId="4491"/>
    <tableColumn id="2" name="Description" dataDxfId="4490"/>
    <tableColumn id="4" name="Label Name" dataDxfId="4489"/>
    <tableColumn id="5" name="Amount" dataDxfId="4488" dataCellStyle="40% - Accent6"/>
  </tableColumns>
  <tableStyleInfo name="TableStyleLight18" showFirstColumn="0" showLastColumn="0" showRowStripes="1" showColumnStripes="0"/>
</table>
</file>

<file path=xl/tables/table241.xml><?xml version="1.0" encoding="utf-8"?>
<table xmlns="http://schemas.openxmlformats.org/spreadsheetml/2006/main" id="241" name="Rehab_30" displayName="Rehab_30" ref="A144:D159" totalsRowShown="0" headerRowDxfId="4487" dataDxfId="4485" headerRowBorderDxfId="4486" tableBorderDxfId="4484" headerRowCellStyle="40% - Accent6">
  <autoFilter ref="A144:D159"/>
  <tableColumns count="4">
    <tableColumn id="1" name="Expense" dataDxfId="4483"/>
    <tableColumn id="2" name="Description" dataDxfId="4482"/>
    <tableColumn id="4" name="Label Name" dataDxfId="4481"/>
    <tableColumn id="5" name="Amount" dataDxfId="4480" dataCellStyle="40% - Accent6"/>
  </tableColumns>
  <tableStyleInfo name="TableStyleLight18" showFirstColumn="0" showLastColumn="0" showRowStripes="1" showColumnStripes="0"/>
</table>
</file>

<file path=xl/tables/table242.xml><?xml version="1.0" encoding="utf-8"?>
<table xmlns="http://schemas.openxmlformats.org/spreadsheetml/2006/main" id="242" name="Grass_31" displayName="Grass_31" ref="A11:D26" totalsRowShown="0" headerRowDxfId="4479" dataDxfId="4477" headerRowBorderDxfId="4478" tableBorderDxfId="4476" headerRowCellStyle="40% - Accent6">
  <autoFilter ref="A11:D26"/>
  <tableColumns count="4">
    <tableColumn id="1" name="Expense" dataDxfId="4475"/>
    <tableColumn id="2" name="Description" dataDxfId="4474"/>
    <tableColumn id="4" name="Label Name" dataDxfId="4473"/>
    <tableColumn id="5" name="Amount" dataDxfId="4472" dataCellStyle="20% - Accent6"/>
  </tableColumns>
  <tableStyleInfo name="TableStyleLight18" showFirstColumn="0" showLastColumn="0" showRowStripes="1" showColumnStripes="0"/>
</table>
</file>

<file path=xl/tables/table243.xml><?xml version="1.0" encoding="utf-8"?>
<table xmlns="http://schemas.openxmlformats.org/spreadsheetml/2006/main" id="243" name="Tree_31" displayName="Tree_31" ref="A30:D45" totalsRowShown="0" headerRowDxfId="4471" dataDxfId="4469" headerRowBorderDxfId="4470" tableBorderDxfId="4468" headerRowCellStyle="40% - Accent6">
  <autoFilter ref="A30:D45"/>
  <tableColumns count="4">
    <tableColumn id="1" name="Expense" dataDxfId="4467"/>
    <tableColumn id="2" name="Description" dataDxfId="4466"/>
    <tableColumn id="4" name="Label Name" dataDxfId="4465"/>
    <tableColumn id="5" name="Amount" dataDxfId="4464" dataCellStyle="40% - Accent6"/>
  </tableColumns>
  <tableStyleInfo name="TableStyleLight18" showFirstColumn="0" showLastColumn="0" showRowStripes="1" showColumnStripes="0"/>
</table>
</file>

<file path=xl/tables/table244.xml><?xml version="1.0" encoding="utf-8"?>
<table xmlns="http://schemas.openxmlformats.org/spreadsheetml/2006/main" id="244" name="Pest_31" displayName="Pest_31" ref="A49:D64" totalsRowShown="0" headerRowDxfId="4463" dataDxfId="4461" headerRowBorderDxfId="4462" tableBorderDxfId="4460" headerRowCellStyle="40% - Accent6">
  <autoFilter ref="A49:D64"/>
  <tableColumns count="4">
    <tableColumn id="1" name="Expense" dataDxfId="4459"/>
    <tableColumn id="2" name="Description" dataDxfId="4458"/>
    <tableColumn id="4" name="Label Name" dataDxfId="4457"/>
    <tableColumn id="5" name="Amount" dataDxfId="4456" dataCellStyle="40% - Accent6"/>
  </tableColumns>
  <tableStyleInfo name="TableStyleLight18" showFirstColumn="0" showLastColumn="0" showRowStripes="1" showColumnStripes="0"/>
</table>
</file>

<file path=xl/tables/table245.xml><?xml version="1.0" encoding="utf-8"?>
<table xmlns="http://schemas.openxmlformats.org/spreadsheetml/2006/main" id="245" name="Garbage_31" displayName="Garbage_31" ref="A68:D83" totalsRowShown="0" headerRowDxfId="4455" dataDxfId="4453" headerRowBorderDxfId="4454" tableBorderDxfId="4452" headerRowCellStyle="40% - Accent6">
  <autoFilter ref="A68:D83"/>
  <tableColumns count="4">
    <tableColumn id="1" name="Expense" dataDxfId="4451"/>
    <tableColumn id="2" name="Description" dataDxfId="4450"/>
    <tableColumn id="4" name="Label Name" dataDxfId="4449"/>
    <tableColumn id="5" name="Amount" dataDxfId="4448" dataCellStyle="20% - Accent6"/>
  </tableColumns>
  <tableStyleInfo name="TableStyleLight18" showFirstColumn="0" showLastColumn="0" showRowStripes="1" showColumnStripes="0"/>
</table>
</file>

<file path=xl/tables/table246.xml><?xml version="1.0" encoding="utf-8"?>
<table xmlns="http://schemas.openxmlformats.org/spreadsheetml/2006/main" id="246" name="Boarding_31" displayName="Boarding_31" ref="A87:D102" totalsRowShown="0" headerRowDxfId="4447" dataDxfId="4445" headerRowBorderDxfId="4446" tableBorderDxfId="4444" headerRowCellStyle="40% - Accent6">
  <autoFilter ref="A87:D102"/>
  <tableColumns count="4">
    <tableColumn id="1" name="Expense" dataDxfId="4443"/>
    <tableColumn id="2" name="Description" dataDxfId="4442"/>
    <tableColumn id="4" name="Label Name" dataDxfId="4441"/>
    <tableColumn id="5" name="Amount" dataDxfId="4440" dataCellStyle="40% - Accent6"/>
  </tableColumns>
  <tableStyleInfo name="TableStyleLight18" showFirstColumn="0" showLastColumn="0" showRowStripes="1" showColumnStripes="0"/>
</table>
</file>

<file path=xl/tables/table247.xml><?xml version="1.0" encoding="utf-8"?>
<table xmlns="http://schemas.openxmlformats.org/spreadsheetml/2006/main" id="247" name="Fence_31" displayName="Fence_31" ref="A106:D121" totalsRowShown="0" headerRowDxfId="4439" dataDxfId="4437" headerRowBorderDxfId="4438" tableBorderDxfId="4436" headerRowCellStyle="40% - Accent6">
  <autoFilter ref="A106:D121"/>
  <tableColumns count="4">
    <tableColumn id="1" name="Expense" dataDxfId="4435"/>
    <tableColumn id="2" name="Description" dataDxfId="4434"/>
    <tableColumn id="4" name="Label Name" dataDxfId="4433"/>
    <tableColumn id="5" name="Amount" dataDxfId="4432" dataCellStyle="40% - Accent6"/>
  </tableColumns>
  <tableStyleInfo name="TableStyleLight18" showFirstColumn="0" showLastColumn="0" showRowStripes="1" showColumnStripes="0"/>
</table>
</file>

<file path=xl/tables/table248.xml><?xml version="1.0" encoding="utf-8"?>
<table xmlns="http://schemas.openxmlformats.org/spreadsheetml/2006/main" id="248" name="Demolition_31" displayName="Demolition_31" ref="A125:D140" totalsRowShown="0" headerRowDxfId="4431" dataDxfId="4429" headerRowBorderDxfId="4430" tableBorderDxfId="4428" headerRowCellStyle="40% - Accent6">
  <autoFilter ref="A125:D140"/>
  <tableColumns count="4">
    <tableColumn id="1" name="Expense" dataDxfId="4427"/>
    <tableColumn id="2" name="Description" dataDxfId="4426"/>
    <tableColumn id="4" name="Label Name" dataDxfId="4425"/>
    <tableColumn id="5" name="Amount" dataDxfId="4424" dataCellStyle="40% - Accent6"/>
  </tableColumns>
  <tableStyleInfo name="TableStyleLight18" showFirstColumn="0" showLastColumn="0" showRowStripes="1" showColumnStripes="0"/>
</table>
</file>

<file path=xl/tables/table249.xml><?xml version="1.0" encoding="utf-8"?>
<table xmlns="http://schemas.openxmlformats.org/spreadsheetml/2006/main" id="249" name="Rehab_31" displayName="Rehab_31" ref="A144:D159" totalsRowShown="0" headerRowDxfId="4423" dataDxfId="4421" headerRowBorderDxfId="4422" tableBorderDxfId="4420" headerRowCellStyle="40% - Accent6">
  <autoFilter ref="A144:D159"/>
  <tableColumns count="4">
    <tableColumn id="1" name="Expense" dataDxfId="4419"/>
    <tableColumn id="2" name="Description" dataDxfId="4418"/>
    <tableColumn id="4" name="Label Name" dataDxfId="4417"/>
    <tableColumn id="5" name="Amount" dataDxfId="4416" dataCellStyle="40% - Accent6"/>
  </tableColumns>
  <tableStyleInfo name="TableStyleLight18" showFirstColumn="0" showLastColumn="0" showRowStripes="1" showColumnStripes="0"/>
</table>
</file>

<file path=xl/tables/table25.xml><?xml version="1.0" encoding="utf-8"?>
<table xmlns="http://schemas.openxmlformats.org/spreadsheetml/2006/main" id="90" name="Rehab_3" displayName="Rehab_3" ref="A144:D159" totalsRowShown="0" headerRowDxfId="6215" dataDxfId="6213" headerRowBorderDxfId="6214" tableBorderDxfId="6212" headerRowCellStyle="40% - Accent6">
  <autoFilter ref="A144:D159"/>
  <tableColumns count="4">
    <tableColumn id="1" name="Expense" dataDxfId="6211"/>
    <tableColumn id="2" name="Description" dataDxfId="6210"/>
    <tableColumn id="4" name="Label Name" dataDxfId="6209"/>
    <tableColumn id="5" name="Amount" dataDxfId="6208" dataCellStyle="40% - Accent6"/>
  </tableColumns>
  <tableStyleInfo name="TableStyleLight18" showFirstColumn="0" showLastColumn="0" showRowStripes="1" showColumnStripes="0"/>
</table>
</file>

<file path=xl/tables/table250.xml><?xml version="1.0" encoding="utf-8"?>
<table xmlns="http://schemas.openxmlformats.org/spreadsheetml/2006/main" id="250" name="Grass_32" displayName="Grass_32" ref="A11:D26" totalsRowShown="0" headerRowDxfId="4415" dataDxfId="4413" headerRowBorderDxfId="4414" tableBorderDxfId="4412" headerRowCellStyle="40% - Accent6">
  <autoFilter ref="A11:D26"/>
  <tableColumns count="4">
    <tableColumn id="1" name="Expense" dataDxfId="4411"/>
    <tableColumn id="2" name="Description" dataDxfId="4410"/>
    <tableColumn id="4" name="Label Name" dataDxfId="4409"/>
    <tableColumn id="5" name="Amount" dataDxfId="4408" dataCellStyle="20% - Accent6"/>
  </tableColumns>
  <tableStyleInfo name="TableStyleLight18" showFirstColumn="0" showLastColumn="0" showRowStripes="1" showColumnStripes="0"/>
</table>
</file>

<file path=xl/tables/table251.xml><?xml version="1.0" encoding="utf-8"?>
<table xmlns="http://schemas.openxmlformats.org/spreadsheetml/2006/main" id="251" name="Tree_32" displayName="Tree_32" ref="A30:D45" totalsRowShown="0" headerRowDxfId="4407" dataDxfId="4405" headerRowBorderDxfId="4406" tableBorderDxfId="4404" headerRowCellStyle="40% - Accent6">
  <autoFilter ref="A30:D45"/>
  <tableColumns count="4">
    <tableColumn id="1" name="Expense" dataDxfId="4403"/>
    <tableColumn id="2" name="Description" dataDxfId="4402"/>
    <tableColumn id="4" name="Label Name" dataDxfId="4401"/>
    <tableColumn id="5" name="Amount" dataDxfId="4400" dataCellStyle="40% - Accent6"/>
  </tableColumns>
  <tableStyleInfo name="TableStyleLight18" showFirstColumn="0" showLastColumn="0" showRowStripes="1" showColumnStripes="0"/>
</table>
</file>

<file path=xl/tables/table252.xml><?xml version="1.0" encoding="utf-8"?>
<table xmlns="http://schemas.openxmlformats.org/spreadsheetml/2006/main" id="252" name="Pest_32" displayName="Pest_32" ref="A49:D64" totalsRowShown="0" headerRowDxfId="4399" dataDxfId="4397" headerRowBorderDxfId="4398" tableBorderDxfId="4396" headerRowCellStyle="40% - Accent6">
  <autoFilter ref="A49:D64"/>
  <tableColumns count="4">
    <tableColumn id="1" name="Expense" dataDxfId="4395"/>
    <tableColumn id="2" name="Description" dataDxfId="4394"/>
    <tableColumn id="4" name="Label Name" dataDxfId="4393"/>
    <tableColumn id="5" name="Amount" dataDxfId="4392" dataCellStyle="40% - Accent6"/>
  </tableColumns>
  <tableStyleInfo name="TableStyleLight18" showFirstColumn="0" showLastColumn="0" showRowStripes="1" showColumnStripes="0"/>
</table>
</file>

<file path=xl/tables/table253.xml><?xml version="1.0" encoding="utf-8"?>
<table xmlns="http://schemas.openxmlformats.org/spreadsheetml/2006/main" id="253" name="Garbage_32" displayName="Garbage_32" ref="A68:D83" totalsRowShown="0" headerRowDxfId="4391" dataDxfId="4389" headerRowBorderDxfId="4390" tableBorderDxfId="4388" headerRowCellStyle="40% - Accent6">
  <autoFilter ref="A68:D83"/>
  <tableColumns count="4">
    <tableColumn id="1" name="Expense" dataDxfId="4387"/>
    <tableColumn id="2" name="Description" dataDxfId="4386"/>
    <tableColumn id="4" name="Label Name" dataDxfId="4385"/>
    <tableColumn id="5" name="Amount" dataDxfId="4384" dataCellStyle="20% - Accent6"/>
  </tableColumns>
  <tableStyleInfo name="TableStyleLight18" showFirstColumn="0" showLastColumn="0" showRowStripes="1" showColumnStripes="0"/>
</table>
</file>

<file path=xl/tables/table254.xml><?xml version="1.0" encoding="utf-8"?>
<table xmlns="http://schemas.openxmlformats.org/spreadsheetml/2006/main" id="254" name="Boarding_32" displayName="Boarding_32" ref="A87:D102" totalsRowShown="0" headerRowDxfId="4383" dataDxfId="4381" headerRowBorderDxfId="4382" tableBorderDxfId="4380" headerRowCellStyle="40% - Accent6">
  <autoFilter ref="A87:D102"/>
  <tableColumns count="4">
    <tableColumn id="1" name="Expense" dataDxfId="4379"/>
    <tableColumn id="2" name="Description" dataDxfId="4378"/>
    <tableColumn id="4" name="Label Name" dataDxfId="4377"/>
    <tableColumn id="5" name="Amount" dataDxfId="4376" dataCellStyle="40% - Accent6"/>
  </tableColumns>
  <tableStyleInfo name="TableStyleLight18" showFirstColumn="0" showLastColumn="0" showRowStripes="1" showColumnStripes="0"/>
</table>
</file>

<file path=xl/tables/table255.xml><?xml version="1.0" encoding="utf-8"?>
<table xmlns="http://schemas.openxmlformats.org/spreadsheetml/2006/main" id="255" name="Fence_32" displayName="Fence_32" ref="A106:D121" totalsRowShown="0" headerRowDxfId="4375" dataDxfId="4373" headerRowBorderDxfId="4374" tableBorderDxfId="4372" headerRowCellStyle="40% - Accent6">
  <autoFilter ref="A106:D121"/>
  <tableColumns count="4">
    <tableColumn id="1" name="Expense" dataDxfId="4371"/>
    <tableColumn id="2" name="Description" dataDxfId="4370"/>
    <tableColumn id="4" name="Label Name" dataDxfId="4369"/>
    <tableColumn id="5" name="Amount" dataDxfId="4368" dataCellStyle="40% - Accent6"/>
  </tableColumns>
  <tableStyleInfo name="TableStyleLight18" showFirstColumn="0" showLastColumn="0" showRowStripes="1" showColumnStripes="0"/>
</table>
</file>

<file path=xl/tables/table256.xml><?xml version="1.0" encoding="utf-8"?>
<table xmlns="http://schemas.openxmlformats.org/spreadsheetml/2006/main" id="256" name="Demolition_32" displayName="Demolition_32" ref="A125:D140" totalsRowShown="0" headerRowDxfId="4367" dataDxfId="4365" headerRowBorderDxfId="4366" tableBorderDxfId="4364" headerRowCellStyle="40% - Accent6">
  <autoFilter ref="A125:D140"/>
  <tableColumns count="4">
    <tableColumn id="1" name="Expense" dataDxfId="4363"/>
    <tableColumn id="2" name="Description" dataDxfId="4362"/>
    <tableColumn id="4" name="Label Name" dataDxfId="4361"/>
    <tableColumn id="5" name="Amount" dataDxfId="4360" dataCellStyle="40% - Accent6"/>
  </tableColumns>
  <tableStyleInfo name="TableStyleLight18" showFirstColumn="0" showLastColumn="0" showRowStripes="1" showColumnStripes="0"/>
</table>
</file>

<file path=xl/tables/table257.xml><?xml version="1.0" encoding="utf-8"?>
<table xmlns="http://schemas.openxmlformats.org/spreadsheetml/2006/main" id="257" name="Rehab_32" displayName="Rehab_32" ref="A144:D159" totalsRowShown="0" headerRowDxfId="4359" dataDxfId="4357" headerRowBorderDxfId="4358" tableBorderDxfId="4356" headerRowCellStyle="40% - Accent6">
  <autoFilter ref="A144:D159"/>
  <tableColumns count="4">
    <tableColumn id="1" name="Expense" dataDxfId="4355"/>
    <tableColumn id="2" name="Description" dataDxfId="4354"/>
    <tableColumn id="4" name="Label Name" dataDxfId="4353"/>
    <tableColumn id="5" name="Amount" dataDxfId="4352" dataCellStyle="40% - Accent6"/>
  </tableColumns>
  <tableStyleInfo name="TableStyleLight18" showFirstColumn="0" showLastColumn="0" showRowStripes="1" showColumnStripes="0"/>
</table>
</file>

<file path=xl/tables/table258.xml><?xml version="1.0" encoding="utf-8"?>
<table xmlns="http://schemas.openxmlformats.org/spreadsheetml/2006/main" id="258" name="Grass_33" displayName="Grass_33" ref="A11:D26" totalsRowShown="0" headerRowDxfId="4351" dataDxfId="4349" headerRowBorderDxfId="4350" tableBorderDxfId="4348" headerRowCellStyle="40% - Accent6">
  <autoFilter ref="A11:D26"/>
  <tableColumns count="4">
    <tableColumn id="1" name="Expense" dataDxfId="4347"/>
    <tableColumn id="2" name="Description" dataDxfId="4346"/>
    <tableColumn id="4" name="Label Name" dataDxfId="4345"/>
    <tableColumn id="5" name="Amount" dataDxfId="4344" dataCellStyle="20% - Accent6"/>
  </tableColumns>
  <tableStyleInfo name="TableStyleLight18" showFirstColumn="0" showLastColumn="0" showRowStripes="1" showColumnStripes="0"/>
</table>
</file>

<file path=xl/tables/table259.xml><?xml version="1.0" encoding="utf-8"?>
<table xmlns="http://schemas.openxmlformats.org/spreadsheetml/2006/main" id="259" name="Tree_33" displayName="Tree_33" ref="A30:D45" totalsRowShown="0" headerRowDxfId="4343" dataDxfId="4341" headerRowBorderDxfId="4342" tableBorderDxfId="4340" headerRowCellStyle="40% - Accent6">
  <autoFilter ref="A30:D45"/>
  <tableColumns count="4">
    <tableColumn id="1" name="Expense" dataDxfId="4339"/>
    <tableColumn id="2" name="Description" dataDxfId="4338"/>
    <tableColumn id="4" name="Label Name" dataDxfId="4337"/>
    <tableColumn id="5" name="Amount" dataDxfId="4336" dataCellStyle="40% - Accent6"/>
  </tableColumns>
  <tableStyleInfo name="TableStyleLight18" showFirstColumn="0" showLastColumn="0" showRowStripes="1" showColumnStripes="0"/>
</table>
</file>

<file path=xl/tables/table26.xml><?xml version="1.0" encoding="utf-8"?>
<table xmlns="http://schemas.openxmlformats.org/spreadsheetml/2006/main" id="91" name="Grass_4" displayName="Grass_4" ref="A11:D26" totalsRowShown="0" headerRowDxfId="6207" dataDxfId="6205" headerRowBorderDxfId="6206" tableBorderDxfId="6204" headerRowCellStyle="40% - Accent6">
  <autoFilter ref="A11:D26"/>
  <tableColumns count="4">
    <tableColumn id="1" name="Expense" dataDxfId="6203"/>
    <tableColumn id="2" name="Description" dataDxfId="6202"/>
    <tableColumn id="4" name="Label Name" dataDxfId="6201"/>
    <tableColumn id="5" name="Amount" dataDxfId="6200" dataCellStyle="20% - Accent6"/>
  </tableColumns>
  <tableStyleInfo name="TableStyleLight18" showFirstColumn="0" showLastColumn="0" showRowStripes="1" showColumnStripes="0"/>
</table>
</file>

<file path=xl/tables/table260.xml><?xml version="1.0" encoding="utf-8"?>
<table xmlns="http://schemas.openxmlformats.org/spreadsheetml/2006/main" id="260" name="Pest_33" displayName="Pest_33" ref="A49:D64" totalsRowShown="0" headerRowDxfId="4335" dataDxfId="4333" headerRowBorderDxfId="4334" tableBorderDxfId="4332" headerRowCellStyle="40% - Accent6">
  <autoFilter ref="A49:D64"/>
  <tableColumns count="4">
    <tableColumn id="1" name="Expense" dataDxfId="4331"/>
    <tableColumn id="2" name="Description" dataDxfId="4330"/>
    <tableColumn id="4" name="Label Name" dataDxfId="4329"/>
    <tableColumn id="5" name="Amount" dataDxfId="4328" dataCellStyle="40% - Accent6"/>
  </tableColumns>
  <tableStyleInfo name="TableStyleLight18" showFirstColumn="0" showLastColumn="0" showRowStripes="1" showColumnStripes="0"/>
</table>
</file>

<file path=xl/tables/table261.xml><?xml version="1.0" encoding="utf-8"?>
<table xmlns="http://schemas.openxmlformats.org/spreadsheetml/2006/main" id="261" name="Garbage_33" displayName="Garbage_33" ref="A68:D83" totalsRowShown="0" headerRowDxfId="4327" dataDxfId="4325" headerRowBorderDxfId="4326" tableBorderDxfId="4324" headerRowCellStyle="40% - Accent6">
  <autoFilter ref="A68:D83"/>
  <tableColumns count="4">
    <tableColumn id="1" name="Expense" dataDxfId="4323"/>
    <tableColumn id="2" name="Description" dataDxfId="4322"/>
    <tableColumn id="4" name="Label Name" dataDxfId="4321"/>
    <tableColumn id="5" name="Amount" dataDxfId="4320" dataCellStyle="20% - Accent6"/>
  </tableColumns>
  <tableStyleInfo name="TableStyleLight18" showFirstColumn="0" showLastColumn="0" showRowStripes="1" showColumnStripes="0"/>
</table>
</file>

<file path=xl/tables/table262.xml><?xml version="1.0" encoding="utf-8"?>
<table xmlns="http://schemas.openxmlformats.org/spreadsheetml/2006/main" id="262" name="Boarding_33" displayName="Boarding_33" ref="A87:D102" totalsRowShown="0" headerRowDxfId="4319" dataDxfId="4317" headerRowBorderDxfId="4318" tableBorderDxfId="4316" headerRowCellStyle="40% - Accent6">
  <autoFilter ref="A87:D102"/>
  <tableColumns count="4">
    <tableColumn id="1" name="Expense" dataDxfId="4315"/>
    <tableColumn id="2" name="Description" dataDxfId="4314"/>
    <tableColumn id="4" name="Label Name" dataDxfId="4313"/>
    <tableColumn id="5" name="Amount" dataDxfId="4312" dataCellStyle="40% - Accent6"/>
  </tableColumns>
  <tableStyleInfo name="TableStyleLight18" showFirstColumn="0" showLastColumn="0" showRowStripes="1" showColumnStripes="0"/>
</table>
</file>

<file path=xl/tables/table263.xml><?xml version="1.0" encoding="utf-8"?>
<table xmlns="http://schemas.openxmlformats.org/spreadsheetml/2006/main" id="263" name="Fence_33" displayName="Fence_33" ref="A106:D121" totalsRowShown="0" headerRowDxfId="4311" dataDxfId="4309" headerRowBorderDxfId="4310" tableBorderDxfId="4308" headerRowCellStyle="40% - Accent6">
  <autoFilter ref="A106:D121"/>
  <tableColumns count="4">
    <tableColumn id="1" name="Expense" dataDxfId="4307"/>
    <tableColumn id="2" name="Description" dataDxfId="4306"/>
    <tableColumn id="4" name="Label Name" dataDxfId="4305"/>
    <tableColumn id="5" name="Amount" dataDxfId="4304" dataCellStyle="40% - Accent6"/>
  </tableColumns>
  <tableStyleInfo name="TableStyleLight18" showFirstColumn="0" showLastColumn="0" showRowStripes="1" showColumnStripes="0"/>
</table>
</file>

<file path=xl/tables/table264.xml><?xml version="1.0" encoding="utf-8"?>
<table xmlns="http://schemas.openxmlformats.org/spreadsheetml/2006/main" id="264" name="Demolition_33" displayName="Demolition_33" ref="A125:D140" totalsRowShown="0" headerRowDxfId="4303" dataDxfId="4301" headerRowBorderDxfId="4302" tableBorderDxfId="4300" headerRowCellStyle="40% - Accent6">
  <autoFilter ref="A125:D140"/>
  <tableColumns count="4">
    <tableColumn id="1" name="Expense" dataDxfId="4299"/>
    <tableColumn id="2" name="Description" dataDxfId="4298"/>
    <tableColumn id="4" name="Label Name" dataDxfId="4297"/>
    <tableColumn id="5" name="Amount" dataDxfId="4296" dataCellStyle="40% - Accent6"/>
  </tableColumns>
  <tableStyleInfo name="TableStyleLight18" showFirstColumn="0" showLastColumn="0" showRowStripes="1" showColumnStripes="0"/>
</table>
</file>

<file path=xl/tables/table265.xml><?xml version="1.0" encoding="utf-8"?>
<table xmlns="http://schemas.openxmlformats.org/spreadsheetml/2006/main" id="265" name="Rehab_33" displayName="Rehab_33" ref="A144:D159" totalsRowShown="0" headerRowDxfId="4295" dataDxfId="4293" headerRowBorderDxfId="4294" tableBorderDxfId="4292" headerRowCellStyle="40% - Accent6">
  <autoFilter ref="A144:D159"/>
  <tableColumns count="4">
    <tableColumn id="1" name="Expense" dataDxfId="4291"/>
    <tableColumn id="2" name="Description" dataDxfId="4290"/>
    <tableColumn id="4" name="Label Name" dataDxfId="4289"/>
    <tableColumn id="5" name="Amount" dataDxfId="4288" dataCellStyle="40% - Accent6"/>
  </tableColumns>
  <tableStyleInfo name="TableStyleLight18" showFirstColumn="0" showLastColumn="0" showRowStripes="1" showColumnStripes="0"/>
</table>
</file>

<file path=xl/tables/table266.xml><?xml version="1.0" encoding="utf-8"?>
<table xmlns="http://schemas.openxmlformats.org/spreadsheetml/2006/main" id="266" name="Grass_34" displayName="Grass_34" ref="A11:D26" totalsRowShown="0" headerRowDxfId="4287" dataDxfId="4285" headerRowBorderDxfId="4286" tableBorderDxfId="4284" headerRowCellStyle="40% - Accent6">
  <autoFilter ref="A11:D26"/>
  <tableColumns count="4">
    <tableColumn id="1" name="Expense" dataDxfId="4283"/>
    <tableColumn id="2" name="Description" dataDxfId="4282"/>
    <tableColumn id="4" name="Label Name" dataDxfId="4281"/>
    <tableColumn id="5" name="Amount" dataDxfId="4280" dataCellStyle="20% - Accent6"/>
  </tableColumns>
  <tableStyleInfo name="TableStyleLight18" showFirstColumn="0" showLastColumn="0" showRowStripes="1" showColumnStripes="0"/>
</table>
</file>

<file path=xl/tables/table267.xml><?xml version="1.0" encoding="utf-8"?>
<table xmlns="http://schemas.openxmlformats.org/spreadsheetml/2006/main" id="267" name="Tree_34" displayName="Tree_34" ref="A30:D45" totalsRowShown="0" headerRowDxfId="4279" dataDxfId="4277" headerRowBorderDxfId="4278" tableBorderDxfId="4276" headerRowCellStyle="40% - Accent6">
  <autoFilter ref="A30:D45"/>
  <tableColumns count="4">
    <tableColumn id="1" name="Expense" dataDxfId="4275"/>
    <tableColumn id="2" name="Description" dataDxfId="4274"/>
    <tableColumn id="4" name="Label Name" dataDxfId="4273"/>
    <tableColumn id="5" name="Amount" dataDxfId="4272" dataCellStyle="40% - Accent6"/>
  </tableColumns>
  <tableStyleInfo name="TableStyleLight18" showFirstColumn="0" showLastColumn="0" showRowStripes="1" showColumnStripes="0"/>
</table>
</file>

<file path=xl/tables/table268.xml><?xml version="1.0" encoding="utf-8"?>
<table xmlns="http://schemas.openxmlformats.org/spreadsheetml/2006/main" id="268" name="Pest_34" displayName="Pest_34" ref="A49:D64" totalsRowShown="0" headerRowDxfId="4271" dataDxfId="4269" headerRowBorderDxfId="4270" tableBorderDxfId="4268" headerRowCellStyle="40% - Accent6">
  <autoFilter ref="A49:D64"/>
  <tableColumns count="4">
    <tableColumn id="1" name="Expense" dataDxfId="4267"/>
    <tableColumn id="2" name="Description" dataDxfId="4266"/>
    <tableColumn id="4" name="Label Name" dataDxfId="4265"/>
    <tableColumn id="5" name="Amount" dataDxfId="4264" dataCellStyle="40% - Accent6"/>
  </tableColumns>
  <tableStyleInfo name="TableStyleLight18" showFirstColumn="0" showLastColumn="0" showRowStripes="1" showColumnStripes="0"/>
</table>
</file>

<file path=xl/tables/table269.xml><?xml version="1.0" encoding="utf-8"?>
<table xmlns="http://schemas.openxmlformats.org/spreadsheetml/2006/main" id="269" name="Garbage_34" displayName="Garbage_34" ref="A68:D83" totalsRowShown="0" headerRowDxfId="4263" dataDxfId="4261" headerRowBorderDxfId="4262" tableBorderDxfId="4260" headerRowCellStyle="40% - Accent6">
  <autoFilter ref="A68:D83"/>
  <tableColumns count="4">
    <tableColumn id="1" name="Expense" dataDxfId="4259"/>
    <tableColumn id="2" name="Description" dataDxfId="4258"/>
    <tableColumn id="4" name="Label Name" dataDxfId="4257"/>
    <tableColumn id="5" name="Amount" dataDxfId="4256" dataCellStyle="20% - Accent6"/>
  </tableColumns>
  <tableStyleInfo name="TableStyleLight18" showFirstColumn="0" showLastColumn="0" showRowStripes="1" showColumnStripes="0"/>
</table>
</file>

<file path=xl/tables/table27.xml><?xml version="1.0" encoding="utf-8"?>
<table xmlns="http://schemas.openxmlformats.org/spreadsheetml/2006/main" id="92" name="Tree_4" displayName="Tree_4" ref="A30:D45" totalsRowShown="0" headerRowDxfId="6199" dataDxfId="6197" headerRowBorderDxfId="6198" tableBorderDxfId="6196" headerRowCellStyle="40% - Accent6">
  <autoFilter ref="A30:D45"/>
  <tableColumns count="4">
    <tableColumn id="1" name="Expense" dataDxfId="6195"/>
    <tableColumn id="2" name="Description" dataDxfId="6194"/>
    <tableColumn id="4" name="Label Name" dataDxfId="6193"/>
    <tableColumn id="5" name="Amount" dataDxfId="6192" dataCellStyle="40% - Accent6"/>
  </tableColumns>
  <tableStyleInfo name="TableStyleLight18" showFirstColumn="0" showLastColumn="0" showRowStripes="1" showColumnStripes="0"/>
</table>
</file>

<file path=xl/tables/table270.xml><?xml version="1.0" encoding="utf-8"?>
<table xmlns="http://schemas.openxmlformats.org/spreadsheetml/2006/main" id="270" name="Boarding_34" displayName="Boarding_34" ref="A87:D102" totalsRowShown="0" headerRowDxfId="4255" dataDxfId="4253" headerRowBorderDxfId="4254" tableBorderDxfId="4252" headerRowCellStyle="40% - Accent6">
  <autoFilter ref="A87:D102"/>
  <tableColumns count="4">
    <tableColumn id="1" name="Expense" dataDxfId="4251"/>
    <tableColumn id="2" name="Description" dataDxfId="4250"/>
    <tableColumn id="4" name="Label Name" dataDxfId="4249"/>
    <tableColumn id="5" name="Amount" dataDxfId="4248" dataCellStyle="40% - Accent6"/>
  </tableColumns>
  <tableStyleInfo name="TableStyleLight18" showFirstColumn="0" showLastColumn="0" showRowStripes="1" showColumnStripes="0"/>
</table>
</file>

<file path=xl/tables/table271.xml><?xml version="1.0" encoding="utf-8"?>
<table xmlns="http://schemas.openxmlformats.org/spreadsheetml/2006/main" id="271" name="Fence_34" displayName="Fence_34" ref="A106:D121" totalsRowShown="0" headerRowDxfId="4247" dataDxfId="4245" headerRowBorderDxfId="4246" tableBorderDxfId="4244" headerRowCellStyle="40% - Accent6">
  <autoFilter ref="A106:D121"/>
  <tableColumns count="4">
    <tableColumn id="1" name="Expense" dataDxfId="4243"/>
    <tableColumn id="2" name="Description" dataDxfId="4242"/>
    <tableColumn id="4" name="Label Name" dataDxfId="4241"/>
    <tableColumn id="5" name="Amount" dataDxfId="4240" dataCellStyle="40% - Accent6"/>
  </tableColumns>
  <tableStyleInfo name="TableStyleLight18" showFirstColumn="0" showLastColumn="0" showRowStripes="1" showColumnStripes="0"/>
</table>
</file>

<file path=xl/tables/table272.xml><?xml version="1.0" encoding="utf-8"?>
<table xmlns="http://schemas.openxmlformats.org/spreadsheetml/2006/main" id="272" name="Demolition_34" displayName="Demolition_34" ref="A125:D140" totalsRowShown="0" headerRowDxfId="4239" dataDxfId="4237" headerRowBorderDxfId="4238" tableBorderDxfId="4236" headerRowCellStyle="40% - Accent6">
  <autoFilter ref="A125:D140"/>
  <tableColumns count="4">
    <tableColumn id="1" name="Expense" dataDxfId="4235"/>
    <tableColumn id="2" name="Description" dataDxfId="4234"/>
    <tableColumn id="4" name="Label Name" dataDxfId="4233"/>
    <tableColumn id="5" name="Amount" dataDxfId="4232" dataCellStyle="40% - Accent6"/>
  </tableColumns>
  <tableStyleInfo name="TableStyleLight18" showFirstColumn="0" showLastColumn="0" showRowStripes="1" showColumnStripes="0"/>
</table>
</file>

<file path=xl/tables/table273.xml><?xml version="1.0" encoding="utf-8"?>
<table xmlns="http://schemas.openxmlformats.org/spreadsheetml/2006/main" id="273" name="Rehab_34" displayName="Rehab_34" ref="A144:D159" totalsRowShown="0" headerRowDxfId="4231" dataDxfId="4229" headerRowBorderDxfId="4230" tableBorderDxfId="4228" headerRowCellStyle="40% - Accent6">
  <autoFilter ref="A144:D159"/>
  <tableColumns count="4">
    <tableColumn id="1" name="Expense" dataDxfId="4227"/>
    <tableColumn id="2" name="Description" dataDxfId="4226"/>
    <tableColumn id="4" name="Label Name" dataDxfId="4225"/>
    <tableColumn id="5" name="Amount" dataDxfId="4224" dataCellStyle="40% - Accent6"/>
  </tableColumns>
  <tableStyleInfo name="TableStyleLight18" showFirstColumn="0" showLastColumn="0" showRowStripes="1" showColumnStripes="0"/>
</table>
</file>

<file path=xl/tables/table274.xml><?xml version="1.0" encoding="utf-8"?>
<table xmlns="http://schemas.openxmlformats.org/spreadsheetml/2006/main" id="274" name="Grass_35" displayName="Grass_35" ref="A11:D26" totalsRowShown="0" headerRowDxfId="4223" dataDxfId="4221" headerRowBorderDxfId="4222" tableBorderDxfId="4220" headerRowCellStyle="40% - Accent6">
  <autoFilter ref="A11:D26"/>
  <tableColumns count="4">
    <tableColumn id="1" name="Expense" dataDxfId="4219"/>
    <tableColumn id="2" name="Description" dataDxfId="4218"/>
    <tableColumn id="4" name="Label Name" dataDxfId="4217"/>
    <tableColumn id="5" name="Amount" dataDxfId="4216" dataCellStyle="20% - Accent6"/>
  </tableColumns>
  <tableStyleInfo name="TableStyleLight18" showFirstColumn="0" showLastColumn="0" showRowStripes="1" showColumnStripes="0"/>
</table>
</file>

<file path=xl/tables/table275.xml><?xml version="1.0" encoding="utf-8"?>
<table xmlns="http://schemas.openxmlformats.org/spreadsheetml/2006/main" id="275" name="Tree_35" displayName="Tree_35" ref="A30:D45" totalsRowShown="0" headerRowDxfId="4215" dataDxfId="4213" headerRowBorderDxfId="4214" tableBorderDxfId="4212" headerRowCellStyle="40% - Accent6">
  <autoFilter ref="A30:D45"/>
  <tableColumns count="4">
    <tableColumn id="1" name="Expense" dataDxfId="4211"/>
    <tableColumn id="2" name="Description" dataDxfId="4210"/>
    <tableColumn id="4" name="Label Name" dataDxfId="4209"/>
    <tableColumn id="5" name="Amount" dataDxfId="4208" dataCellStyle="40% - Accent6"/>
  </tableColumns>
  <tableStyleInfo name="TableStyleLight18" showFirstColumn="0" showLastColumn="0" showRowStripes="1" showColumnStripes="0"/>
</table>
</file>

<file path=xl/tables/table276.xml><?xml version="1.0" encoding="utf-8"?>
<table xmlns="http://schemas.openxmlformats.org/spreadsheetml/2006/main" id="276" name="Pest_35" displayName="Pest_35" ref="A49:D64" totalsRowShown="0" headerRowDxfId="4207" dataDxfId="4205" headerRowBorderDxfId="4206" tableBorderDxfId="4204" headerRowCellStyle="40% - Accent6">
  <autoFilter ref="A49:D64"/>
  <tableColumns count="4">
    <tableColumn id="1" name="Expense" dataDxfId="4203"/>
    <tableColumn id="2" name="Description" dataDxfId="4202"/>
    <tableColumn id="4" name="Label Name" dataDxfId="4201"/>
    <tableColumn id="5" name="Amount" dataDxfId="4200" dataCellStyle="40% - Accent6"/>
  </tableColumns>
  <tableStyleInfo name="TableStyleLight18" showFirstColumn="0" showLastColumn="0" showRowStripes="1" showColumnStripes="0"/>
</table>
</file>

<file path=xl/tables/table277.xml><?xml version="1.0" encoding="utf-8"?>
<table xmlns="http://schemas.openxmlformats.org/spreadsheetml/2006/main" id="277" name="Garbage_35" displayName="Garbage_35" ref="A68:D83" totalsRowShown="0" headerRowDxfId="4199" dataDxfId="4197" headerRowBorderDxfId="4198" tableBorderDxfId="4196" headerRowCellStyle="40% - Accent6">
  <autoFilter ref="A68:D83"/>
  <tableColumns count="4">
    <tableColumn id="1" name="Expense" dataDxfId="4195"/>
    <tableColumn id="2" name="Description" dataDxfId="4194"/>
    <tableColumn id="4" name="Label Name" dataDxfId="4193"/>
    <tableColumn id="5" name="Amount" dataDxfId="4192" dataCellStyle="20% - Accent6"/>
  </tableColumns>
  <tableStyleInfo name="TableStyleLight18" showFirstColumn="0" showLastColumn="0" showRowStripes="1" showColumnStripes="0"/>
</table>
</file>

<file path=xl/tables/table278.xml><?xml version="1.0" encoding="utf-8"?>
<table xmlns="http://schemas.openxmlformats.org/spreadsheetml/2006/main" id="278" name="Boarding_35" displayName="Boarding_35" ref="A87:D102" totalsRowShown="0" headerRowDxfId="4191" dataDxfId="4189" headerRowBorderDxfId="4190" tableBorderDxfId="4188" headerRowCellStyle="40% - Accent6">
  <autoFilter ref="A87:D102"/>
  <tableColumns count="4">
    <tableColumn id="1" name="Expense" dataDxfId="4187"/>
    <tableColumn id="2" name="Description" dataDxfId="4186"/>
    <tableColumn id="4" name="Label Name" dataDxfId="4185"/>
    <tableColumn id="5" name="Amount" dataDxfId="4184" dataCellStyle="40% - Accent6"/>
  </tableColumns>
  <tableStyleInfo name="TableStyleLight18" showFirstColumn="0" showLastColumn="0" showRowStripes="1" showColumnStripes="0"/>
</table>
</file>

<file path=xl/tables/table279.xml><?xml version="1.0" encoding="utf-8"?>
<table xmlns="http://schemas.openxmlformats.org/spreadsheetml/2006/main" id="279" name="Fence_35" displayName="Fence_35" ref="A106:D121" totalsRowShown="0" headerRowDxfId="4183" dataDxfId="4181" headerRowBorderDxfId="4182" tableBorderDxfId="4180" headerRowCellStyle="40% - Accent6">
  <autoFilter ref="A106:D121"/>
  <tableColumns count="4">
    <tableColumn id="1" name="Expense" dataDxfId="4179"/>
    <tableColumn id="2" name="Description" dataDxfId="4178"/>
    <tableColumn id="4" name="Label Name" dataDxfId="4177"/>
    <tableColumn id="5" name="Amount" dataDxfId="4176" dataCellStyle="40% - Accent6"/>
  </tableColumns>
  <tableStyleInfo name="TableStyleLight18" showFirstColumn="0" showLastColumn="0" showRowStripes="1" showColumnStripes="0"/>
</table>
</file>

<file path=xl/tables/table28.xml><?xml version="1.0" encoding="utf-8"?>
<table xmlns="http://schemas.openxmlformats.org/spreadsheetml/2006/main" id="93" name="Pest_4" displayName="Pest_4" ref="A49:D64" totalsRowShown="0" headerRowDxfId="6191" dataDxfId="6189" headerRowBorderDxfId="6190" tableBorderDxfId="6188" headerRowCellStyle="40% - Accent6">
  <autoFilter ref="A49:D64"/>
  <tableColumns count="4">
    <tableColumn id="1" name="Expense" dataDxfId="6187"/>
    <tableColumn id="2" name="Description" dataDxfId="6186"/>
    <tableColumn id="4" name="Label Name" dataDxfId="6185"/>
    <tableColumn id="5" name="Amount" dataDxfId="6184" dataCellStyle="40% - Accent6"/>
  </tableColumns>
  <tableStyleInfo name="TableStyleLight18" showFirstColumn="0" showLastColumn="0" showRowStripes="1" showColumnStripes="0"/>
</table>
</file>

<file path=xl/tables/table280.xml><?xml version="1.0" encoding="utf-8"?>
<table xmlns="http://schemas.openxmlformats.org/spreadsheetml/2006/main" id="280" name="Demolition_35" displayName="Demolition_35" ref="A125:D140" totalsRowShown="0" headerRowDxfId="4175" dataDxfId="4173" headerRowBorderDxfId="4174" tableBorderDxfId="4172" headerRowCellStyle="40% - Accent6">
  <autoFilter ref="A125:D140"/>
  <tableColumns count="4">
    <tableColumn id="1" name="Expense" dataDxfId="4171"/>
    <tableColumn id="2" name="Description" dataDxfId="4170"/>
    <tableColumn id="4" name="Label Name" dataDxfId="4169"/>
    <tableColumn id="5" name="Amount" dataDxfId="4168" dataCellStyle="40% - Accent6"/>
  </tableColumns>
  <tableStyleInfo name="TableStyleLight18" showFirstColumn="0" showLastColumn="0" showRowStripes="1" showColumnStripes="0"/>
</table>
</file>

<file path=xl/tables/table281.xml><?xml version="1.0" encoding="utf-8"?>
<table xmlns="http://schemas.openxmlformats.org/spreadsheetml/2006/main" id="281" name="Rehab_35" displayName="Rehab_35" ref="A144:D159" totalsRowShown="0" headerRowDxfId="4167" dataDxfId="4165" headerRowBorderDxfId="4166" tableBorderDxfId="4164" headerRowCellStyle="40% - Accent6">
  <autoFilter ref="A144:D159"/>
  <tableColumns count="4">
    <tableColumn id="1" name="Expense" dataDxfId="4163"/>
    <tableColumn id="2" name="Description" dataDxfId="4162"/>
    <tableColumn id="4" name="Label Name" dataDxfId="4161"/>
    <tableColumn id="5" name="Amount" dataDxfId="4160" dataCellStyle="40% - Accent6"/>
  </tableColumns>
  <tableStyleInfo name="TableStyleLight18" showFirstColumn="0" showLastColumn="0" showRowStripes="1" showColumnStripes="0"/>
</table>
</file>

<file path=xl/tables/table282.xml><?xml version="1.0" encoding="utf-8"?>
<table xmlns="http://schemas.openxmlformats.org/spreadsheetml/2006/main" id="282" name="Grass_36" displayName="Grass_36" ref="A11:D26" totalsRowShown="0" headerRowDxfId="4159" dataDxfId="4157" headerRowBorderDxfId="4158" tableBorderDxfId="4156" headerRowCellStyle="40% - Accent6">
  <autoFilter ref="A11:D26"/>
  <tableColumns count="4">
    <tableColumn id="1" name="Expense" dataDxfId="4155"/>
    <tableColumn id="2" name="Description" dataDxfId="4154"/>
    <tableColumn id="4" name="Label Name" dataDxfId="4153"/>
    <tableColumn id="5" name="Amount" dataDxfId="4152" dataCellStyle="20% - Accent6"/>
  </tableColumns>
  <tableStyleInfo name="TableStyleLight18" showFirstColumn="0" showLastColumn="0" showRowStripes="1" showColumnStripes="0"/>
</table>
</file>

<file path=xl/tables/table283.xml><?xml version="1.0" encoding="utf-8"?>
<table xmlns="http://schemas.openxmlformats.org/spreadsheetml/2006/main" id="283" name="Tree_36" displayName="Tree_36" ref="A30:D45" totalsRowShown="0" headerRowDxfId="4151" dataDxfId="4149" headerRowBorderDxfId="4150" tableBorderDxfId="4148" headerRowCellStyle="40% - Accent6">
  <autoFilter ref="A30:D45"/>
  <tableColumns count="4">
    <tableColumn id="1" name="Expense" dataDxfId="4147"/>
    <tableColumn id="2" name="Description" dataDxfId="4146"/>
    <tableColumn id="4" name="Label Name" dataDxfId="4145"/>
    <tableColumn id="5" name="Amount" dataDxfId="4144" dataCellStyle="40% - Accent6"/>
  </tableColumns>
  <tableStyleInfo name="TableStyleLight18" showFirstColumn="0" showLastColumn="0" showRowStripes="1" showColumnStripes="0"/>
</table>
</file>

<file path=xl/tables/table284.xml><?xml version="1.0" encoding="utf-8"?>
<table xmlns="http://schemas.openxmlformats.org/spreadsheetml/2006/main" id="284" name="Pest_36" displayName="Pest_36" ref="A49:D64" totalsRowShown="0" headerRowDxfId="4143" dataDxfId="4141" headerRowBorderDxfId="4142" tableBorderDxfId="4140" headerRowCellStyle="40% - Accent6">
  <autoFilter ref="A49:D64"/>
  <tableColumns count="4">
    <tableColumn id="1" name="Expense" dataDxfId="4139"/>
    <tableColumn id="2" name="Description" dataDxfId="4138"/>
    <tableColumn id="4" name="Label Name" dataDxfId="4137"/>
    <tableColumn id="5" name="Amount" dataDxfId="4136" dataCellStyle="40% - Accent6"/>
  </tableColumns>
  <tableStyleInfo name="TableStyleLight18" showFirstColumn="0" showLastColumn="0" showRowStripes="1" showColumnStripes="0"/>
</table>
</file>

<file path=xl/tables/table285.xml><?xml version="1.0" encoding="utf-8"?>
<table xmlns="http://schemas.openxmlformats.org/spreadsheetml/2006/main" id="285" name="Garbage_36" displayName="Garbage_36" ref="A68:D83" totalsRowShown="0" headerRowDxfId="4135" dataDxfId="4133" headerRowBorderDxfId="4134" tableBorderDxfId="4132" headerRowCellStyle="40% - Accent6">
  <autoFilter ref="A68:D83"/>
  <tableColumns count="4">
    <tableColumn id="1" name="Expense" dataDxfId="4131"/>
    <tableColumn id="2" name="Description" dataDxfId="4130"/>
    <tableColumn id="4" name="Label Name" dataDxfId="4129"/>
    <tableColumn id="5" name="Amount" dataDxfId="4128" dataCellStyle="20% - Accent6"/>
  </tableColumns>
  <tableStyleInfo name="TableStyleLight18" showFirstColumn="0" showLastColumn="0" showRowStripes="1" showColumnStripes="0"/>
</table>
</file>

<file path=xl/tables/table286.xml><?xml version="1.0" encoding="utf-8"?>
<table xmlns="http://schemas.openxmlformats.org/spreadsheetml/2006/main" id="286" name="Boarding_36" displayName="Boarding_36" ref="A87:D102" totalsRowShown="0" headerRowDxfId="4127" dataDxfId="4125" headerRowBorderDxfId="4126" tableBorderDxfId="4124" headerRowCellStyle="40% - Accent6">
  <autoFilter ref="A87:D102"/>
  <tableColumns count="4">
    <tableColumn id="1" name="Expense" dataDxfId="4123"/>
    <tableColumn id="2" name="Description" dataDxfId="4122"/>
    <tableColumn id="4" name="Label Name" dataDxfId="4121"/>
    <tableColumn id="5" name="Amount" dataDxfId="4120" dataCellStyle="40% - Accent6"/>
  </tableColumns>
  <tableStyleInfo name="TableStyleLight18" showFirstColumn="0" showLastColumn="0" showRowStripes="1" showColumnStripes="0"/>
</table>
</file>

<file path=xl/tables/table287.xml><?xml version="1.0" encoding="utf-8"?>
<table xmlns="http://schemas.openxmlformats.org/spreadsheetml/2006/main" id="287" name="Fence_36" displayName="Fence_36" ref="A106:D121" totalsRowShown="0" headerRowDxfId="4119" dataDxfId="4117" headerRowBorderDxfId="4118" tableBorderDxfId="4116" headerRowCellStyle="40% - Accent6">
  <autoFilter ref="A106:D121"/>
  <tableColumns count="4">
    <tableColumn id="1" name="Expense" dataDxfId="4115"/>
    <tableColumn id="2" name="Description" dataDxfId="4114"/>
    <tableColumn id="4" name="Label Name" dataDxfId="4113"/>
    <tableColumn id="5" name="Amount" dataDxfId="4112" dataCellStyle="40% - Accent6"/>
  </tableColumns>
  <tableStyleInfo name="TableStyleLight18" showFirstColumn="0" showLastColumn="0" showRowStripes="1" showColumnStripes="0"/>
</table>
</file>

<file path=xl/tables/table288.xml><?xml version="1.0" encoding="utf-8"?>
<table xmlns="http://schemas.openxmlformats.org/spreadsheetml/2006/main" id="288" name="Demolition_36" displayName="Demolition_36" ref="A125:D140" totalsRowShown="0" headerRowDxfId="4111" dataDxfId="4109" headerRowBorderDxfId="4110" tableBorderDxfId="4108" headerRowCellStyle="40% - Accent6">
  <autoFilter ref="A125:D140"/>
  <tableColumns count="4">
    <tableColumn id="1" name="Expense" dataDxfId="4107"/>
    <tableColumn id="2" name="Description" dataDxfId="4106"/>
    <tableColumn id="4" name="Label Name" dataDxfId="4105"/>
    <tableColumn id="5" name="Amount" dataDxfId="4104" dataCellStyle="40% - Accent6"/>
  </tableColumns>
  <tableStyleInfo name="TableStyleLight18" showFirstColumn="0" showLastColumn="0" showRowStripes="1" showColumnStripes="0"/>
</table>
</file>

<file path=xl/tables/table289.xml><?xml version="1.0" encoding="utf-8"?>
<table xmlns="http://schemas.openxmlformats.org/spreadsheetml/2006/main" id="289" name="Rehab_36" displayName="Rehab_36" ref="A144:D159" totalsRowShown="0" headerRowDxfId="4103" dataDxfId="4101" headerRowBorderDxfId="4102" tableBorderDxfId="4100" headerRowCellStyle="40% - Accent6">
  <autoFilter ref="A144:D159"/>
  <tableColumns count="4">
    <tableColumn id="1" name="Expense" dataDxfId="4099"/>
    <tableColumn id="2" name="Description" dataDxfId="4098"/>
    <tableColumn id="4" name="Label Name" dataDxfId="4097"/>
    <tableColumn id="5" name="Amount" dataDxfId="4096" dataCellStyle="40% - Accent6"/>
  </tableColumns>
  <tableStyleInfo name="TableStyleLight18" showFirstColumn="0" showLastColumn="0" showRowStripes="1" showColumnStripes="0"/>
</table>
</file>

<file path=xl/tables/table29.xml><?xml version="1.0" encoding="utf-8"?>
<table xmlns="http://schemas.openxmlformats.org/spreadsheetml/2006/main" id="94" name="Garbage_4" displayName="Garbage_4" ref="A68:D83" totalsRowShown="0" headerRowDxfId="6183" dataDxfId="6181" headerRowBorderDxfId="6182" tableBorderDxfId="6180" headerRowCellStyle="40% - Accent6">
  <autoFilter ref="A68:D83"/>
  <tableColumns count="4">
    <tableColumn id="1" name="Expense" dataDxfId="6179"/>
    <tableColumn id="2" name="Description" dataDxfId="6178"/>
    <tableColumn id="4" name="Label Name" dataDxfId="6177"/>
    <tableColumn id="5" name="Amount" dataDxfId="6176" dataCellStyle="20% - Accent6"/>
  </tableColumns>
  <tableStyleInfo name="TableStyleLight18" showFirstColumn="0" showLastColumn="0" showRowStripes="1" showColumnStripes="0"/>
</table>
</file>

<file path=xl/tables/table290.xml><?xml version="1.0" encoding="utf-8"?>
<table xmlns="http://schemas.openxmlformats.org/spreadsheetml/2006/main" id="290" name="Grass_37" displayName="Grass_37" ref="A11:D26" totalsRowShown="0" headerRowDxfId="4095" dataDxfId="4093" headerRowBorderDxfId="4094" tableBorderDxfId="4092" headerRowCellStyle="40% - Accent6">
  <autoFilter ref="A11:D26"/>
  <tableColumns count="4">
    <tableColumn id="1" name="Expense" dataDxfId="4091"/>
    <tableColumn id="2" name="Description" dataDxfId="4090"/>
    <tableColumn id="4" name="Label Name" dataDxfId="4089"/>
    <tableColumn id="5" name="Amount" dataDxfId="4088" dataCellStyle="20% - Accent6"/>
  </tableColumns>
  <tableStyleInfo name="TableStyleLight18" showFirstColumn="0" showLastColumn="0" showRowStripes="1" showColumnStripes="0"/>
</table>
</file>

<file path=xl/tables/table291.xml><?xml version="1.0" encoding="utf-8"?>
<table xmlns="http://schemas.openxmlformats.org/spreadsheetml/2006/main" id="291" name="Tree_37" displayName="Tree_37" ref="A30:D45" totalsRowShown="0" headerRowDxfId="4087" dataDxfId="4085" headerRowBorderDxfId="4086" tableBorderDxfId="4084" headerRowCellStyle="40% - Accent6">
  <autoFilter ref="A30:D45"/>
  <tableColumns count="4">
    <tableColumn id="1" name="Expense" dataDxfId="4083"/>
    <tableColumn id="2" name="Description" dataDxfId="4082"/>
    <tableColumn id="4" name="Label Name" dataDxfId="4081"/>
    <tableColumn id="5" name="Amount" dataDxfId="4080" dataCellStyle="40% - Accent6"/>
  </tableColumns>
  <tableStyleInfo name="TableStyleLight18" showFirstColumn="0" showLastColumn="0" showRowStripes="1" showColumnStripes="0"/>
</table>
</file>

<file path=xl/tables/table292.xml><?xml version="1.0" encoding="utf-8"?>
<table xmlns="http://schemas.openxmlformats.org/spreadsheetml/2006/main" id="292" name="Pest_37" displayName="Pest_37" ref="A49:D64" totalsRowShown="0" headerRowDxfId="4079" dataDxfId="4077" headerRowBorderDxfId="4078" tableBorderDxfId="4076" headerRowCellStyle="40% - Accent6">
  <autoFilter ref="A49:D64"/>
  <tableColumns count="4">
    <tableColumn id="1" name="Expense" dataDxfId="4075"/>
    <tableColumn id="2" name="Description" dataDxfId="4074"/>
    <tableColumn id="4" name="Label Name" dataDxfId="4073"/>
    <tableColumn id="5" name="Amount" dataDxfId="4072" dataCellStyle="40% - Accent6"/>
  </tableColumns>
  <tableStyleInfo name="TableStyleLight18" showFirstColumn="0" showLastColumn="0" showRowStripes="1" showColumnStripes="0"/>
</table>
</file>

<file path=xl/tables/table293.xml><?xml version="1.0" encoding="utf-8"?>
<table xmlns="http://schemas.openxmlformats.org/spreadsheetml/2006/main" id="293" name="Garbage_37" displayName="Garbage_37" ref="A68:D83" totalsRowShown="0" headerRowDxfId="4071" dataDxfId="4069" headerRowBorderDxfId="4070" tableBorderDxfId="4068" headerRowCellStyle="40% - Accent6">
  <autoFilter ref="A68:D83"/>
  <tableColumns count="4">
    <tableColumn id="1" name="Expense" dataDxfId="4067"/>
    <tableColumn id="2" name="Description" dataDxfId="4066"/>
    <tableColumn id="4" name="Label Name" dataDxfId="4065"/>
    <tableColumn id="5" name="Amount" dataDxfId="4064" dataCellStyle="20% - Accent6"/>
  </tableColumns>
  <tableStyleInfo name="TableStyleLight18" showFirstColumn="0" showLastColumn="0" showRowStripes="1" showColumnStripes="0"/>
</table>
</file>

<file path=xl/tables/table294.xml><?xml version="1.0" encoding="utf-8"?>
<table xmlns="http://schemas.openxmlformats.org/spreadsheetml/2006/main" id="294" name="Boarding_37" displayName="Boarding_37" ref="A87:D102" totalsRowShown="0" headerRowDxfId="4063" dataDxfId="4061" headerRowBorderDxfId="4062" tableBorderDxfId="4060" headerRowCellStyle="40% - Accent6">
  <autoFilter ref="A87:D102"/>
  <tableColumns count="4">
    <tableColumn id="1" name="Expense" dataDxfId="4059"/>
    <tableColumn id="2" name="Description" dataDxfId="4058"/>
    <tableColumn id="4" name="Label Name" dataDxfId="4057"/>
    <tableColumn id="5" name="Amount" dataDxfId="4056" dataCellStyle="40% - Accent6"/>
  </tableColumns>
  <tableStyleInfo name="TableStyleLight18" showFirstColumn="0" showLastColumn="0" showRowStripes="1" showColumnStripes="0"/>
</table>
</file>

<file path=xl/tables/table295.xml><?xml version="1.0" encoding="utf-8"?>
<table xmlns="http://schemas.openxmlformats.org/spreadsheetml/2006/main" id="295" name="Fence_37" displayName="Fence_37" ref="A106:D121" totalsRowShown="0" headerRowDxfId="4055" dataDxfId="4053" headerRowBorderDxfId="4054" tableBorderDxfId="4052" headerRowCellStyle="40% - Accent6">
  <autoFilter ref="A106:D121"/>
  <tableColumns count="4">
    <tableColumn id="1" name="Expense" dataDxfId="4051"/>
    <tableColumn id="2" name="Description" dataDxfId="4050"/>
    <tableColumn id="4" name="Label Name" dataDxfId="4049"/>
    <tableColumn id="5" name="Amount" dataDxfId="4048" dataCellStyle="40% - Accent6"/>
  </tableColumns>
  <tableStyleInfo name="TableStyleLight18" showFirstColumn="0" showLastColumn="0" showRowStripes="1" showColumnStripes="0"/>
</table>
</file>

<file path=xl/tables/table296.xml><?xml version="1.0" encoding="utf-8"?>
<table xmlns="http://schemas.openxmlformats.org/spreadsheetml/2006/main" id="296" name="Demolition_37" displayName="Demolition_37" ref="A125:D140" totalsRowShown="0" headerRowDxfId="4047" dataDxfId="4045" headerRowBorderDxfId="4046" tableBorderDxfId="4044" headerRowCellStyle="40% - Accent6">
  <autoFilter ref="A125:D140"/>
  <tableColumns count="4">
    <tableColumn id="1" name="Expense" dataDxfId="4043"/>
    <tableColumn id="2" name="Description" dataDxfId="4042"/>
    <tableColumn id="4" name="Label Name" dataDxfId="4041"/>
    <tableColumn id="5" name="Amount" dataDxfId="4040" dataCellStyle="40% - Accent6"/>
  </tableColumns>
  <tableStyleInfo name="TableStyleLight18" showFirstColumn="0" showLastColumn="0" showRowStripes="1" showColumnStripes="0"/>
</table>
</file>

<file path=xl/tables/table297.xml><?xml version="1.0" encoding="utf-8"?>
<table xmlns="http://schemas.openxmlformats.org/spreadsheetml/2006/main" id="297" name="Rehab_37" displayName="Rehab_37" ref="A144:D159" totalsRowShown="0" headerRowDxfId="4039" dataDxfId="4037" headerRowBorderDxfId="4038" tableBorderDxfId="4036" headerRowCellStyle="40% - Accent6">
  <autoFilter ref="A144:D159"/>
  <tableColumns count="4">
    <tableColumn id="1" name="Expense" dataDxfId="4035"/>
    <tableColumn id="2" name="Description" dataDxfId="4034"/>
    <tableColumn id="4" name="Label Name" dataDxfId="4033"/>
    <tableColumn id="5" name="Amount" dataDxfId="4032" dataCellStyle="40% - Accent6"/>
  </tableColumns>
  <tableStyleInfo name="TableStyleLight18" showFirstColumn="0" showLastColumn="0" showRowStripes="1" showColumnStripes="0"/>
</table>
</file>

<file path=xl/tables/table298.xml><?xml version="1.0" encoding="utf-8"?>
<table xmlns="http://schemas.openxmlformats.org/spreadsheetml/2006/main" id="298" name="Grass_38" displayName="Grass_38" ref="A11:D26" totalsRowShown="0" headerRowDxfId="4031" dataDxfId="4029" headerRowBorderDxfId="4030" tableBorderDxfId="4028" headerRowCellStyle="40% - Accent6">
  <autoFilter ref="A11:D26"/>
  <tableColumns count="4">
    <tableColumn id="1" name="Expense" dataDxfId="4027"/>
    <tableColumn id="2" name="Description" dataDxfId="4026"/>
    <tableColumn id="4" name="Label Name" dataDxfId="4025"/>
    <tableColumn id="5" name="Amount" dataDxfId="4024" dataCellStyle="20% - Accent6"/>
  </tableColumns>
  <tableStyleInfo name="TableStyleLight18" showFirstColumn="0" showLastColumn="0" showRowStripes="1" showColumnStripes="0"/>
</table>
</file>

<file path=xl/tables/table299.xml><?xml version="1.0" encoding="utf-8"?>
<table xmlns="http://schemas.openxmlformats.org/spreadsheetml/2006/main" id="299" name="Tree_38" displayName="Tree_38" ref="A30:D45" totalsRowShown="0" headerRowDxfId="4023" dataDxfId="4021" headerRowBorderDxfId="4022" tableBorderDxfId="4020" headerRowCellStyle="40% - Accent6">
  <autoFilter ref="A30:D45"/>
  <tableColumns count="4">
    <tableColumn id="1" name="Expense" dataDxfId="4019"/>
    <tableColumn id="2" name="Description" dataDxfId="4018"/>
    <tableColumn id="4" name="Label Name" dataDxfId="4017"/>
    <tableColumn id="5" name="Amount" dataDxfId="4016" dataCellStyle="40% - Accent6"/>
  </tableColumns>
  <tableStyleInfo name="TableStyleLight18" showFirstColumn="0" showLastColumn="0" showRowStripes="1" showColumnStripes="0"/>
</table>
</file>

<file path=xl/tables/table3.xml><?xml version="1.0" encoding="utf-8"?>
<table xmlns="http://schemas.openxmlformats.org/spreadsheetml/2006/main" id="3" name="Tree_1" displayName="Tree_1" ref="A30:D45" totalsRowShown="0" headerRowDxfId="6391" dataDxfId="6389" headerRowBorderDxfId="6390" tableBorderDxfId="6388" headerRowCellStyle="40% - Accent6">
  <autoFilter ref="A30:D45"/>
  <tableColumns count="4">
    <tableColumn id="1" name="Expense" dataDxfId="6387"/>
    <tableColumn id="2" name="Description" dataDxfId="6386"/>
    <tableColumn id="4" name="Label Name" dataDxfId="6385"/>
    <tableColumn id="5" name="Amount" dataDxfId="6384" dataCellStyle="40% - Accent6"/>
  </tableColumns>
  <tableStyleInfo name="TableStyleLight18" showFirstColumn="0" showLastColumn="0" showRowStripes="1" showColumnStripes="0"/>
</table>
</file>

<file path=xl/tables/table30.xml><?xml version="1.0" encoding="utf-8"?>
<table xmlns="http://schemas.openxmlformats.org/spreadsheetml/2006/main" id="95" name="Boarding_4" displayName="Boarding_4" ref="A87:D102" totalsRowShown="0" headerRowDxfId="6175" dataDxfId="6173" headerRowBorderDxfId="6174" tableBorderDxfId="6172" headerRowCellStyle="40% - Accent6">
  <autoFilter ref="A87:D102"/>
  <tableColumns count="4">
    <tableColumn id="1" name="Expense" dataDxfId="6171"/>
    <tableColumn id="2" name="Description" dataDxfId="6170"/>
    <tableColumn id="4" name="Label Name" dataDxfId="6169"/>
    <tableColumn id="5" name="Amount" dataDxfId="6168" dataCellStyle="40% - Accent6"/>
  </tableColumns>
  <tableStyleInfo name="TableStyleLight18" showFirstColumn="0" showLastColumn="0" showRowStripes="1" showColumnStripes="0"/>
</table>
</file>

<file path=xl/tables/table300.xml><?xml version="1.0" encoding="utf-8"?>
<table xmlns="http://schemas.openxmlformats.org/spreadsheetml/2006/main" id="300" name="Pest_38" displayName="Pest_38" ref="A49:D64" totalsRowShown="0" headerRowDxfId="4015" dataDxfId="4013" headerRowBorderDxfId="4014" tableBorderDxfId="4012" headerRowCellStyle="40% - Accent6">
  <autoFilter ref="A49:D64"/>
  <tableColumns count="4">
    <tableColumn id="1" name="Expense" dataDxfId="4011"/>
    <tableColumn id="2" name="Description" dataDxfId="4010"/>
    <tableColumn id="4" name="Label Name" dataDxfId="4009"/>
    <tableColumn id="5" name="Amount" dataDxfId="4008" dataCellStyle="40% - Accent6"/>
  </tableColumns>
  <tableStyleInfo name="TableStyleLight18" showFirstColumn="0" showLastColumn="0" showRowStripes="1" showColumnStripes="0"/>
</table>
</file>

<file path=xl/tables/table301.xml><?xml version="1.0" encoding="utf-8"?>
<table xmlns="http://schemas.openxmlformats.org/spreadsheetml/2006/main" id="301" name="Garbage_38" displayName="Garbage_38" ref="A68:D83" totalsRowShown="0" headerRowDxfId="4007" dataDxfId="4005" headerRowBorderDxfId="4006" tableBorderDxfId="4004" headerRowCellStyle="40% - Accent6">
  <autoFilter ref="A68:D83"/>
  <tableColumns count="4">
    <tableColumn id="1" name="Expense" dataDxfId="4003"/>
    <tableColumn id="2" name="Description" dataDxfId="4002"/>
    <tableColumn id="4" name="Label Name" dataDxfId="4001"/>
    <tableColumn id="5" name="Amount" dataDxfId="4000" dataCellStyle="20% - Accent6"/>
  </tableColumns>
  <tableStyleInfo name="TableStyleLight18" showFirstColumn="0" showLastColumn="0" showRowStripes="1" showColumnStripes="0"/>
</table>
</file>

<file path=xl/tables/table302.xml><?xml version="1.0" encoding="utf-8"?>
<table xmlns="http://schemas.openxmlformats.org/spreadsheetml/2006/main" id="302" name="Boarding_38" displayName="Boarding_38" ref="A87:D102" totalsRowShown="0" headerRowDxfId="3999" dataDxfId="3997" headerRowBorderDxfId="3998" tableBorderDxfId="3996" headerRowCellStyle="40% - Accent6">
  <autoFilter ref="A87:D102"/>
  <tableColumns count="4">
    <tableColumn id="1" name="Expense" dataDxfId="3995"/>
    <tableColumn id="2" name="Description" dataDxfId="3994"/>
    <tableColumn id="4" name="Label Name" dataDxfId="3993"/>
    <tableColumn id="5" name="Amount" dataDxfId="3992" dataCellStyle="40% - Accent6"/>
  </tableColumns>
  <tableStyleInfo name="TableStyleLight18" showFirstColumn="0" showLastColumn="0" showRowStripes="1" showColumnStripes="0"/>
</table>
</file>

<file path=xl/tables/table303.xml><?xml version="1.0" encoding="utf-8"?>
<table xmlns="http://schemas.openxmlformats.org/spreadsheetml/2006/main" id="303" name="Fence_38" displayName="Fence_38" ref="A106:D121" totalsRowShown="0" headerRowDxfId="3991" dataDxfId="3989" headerRowBorderDxfId="3990" tableBorderDxfId="3988" headerRowCellStyle="40% - Accent6">
  <autoFilter ref="A106:D121"/>
  <tableColumns count="4">
    <tableColumn id="1" name="Expense" dataDxfId="3987"/>
    <tableColumn id="2" name="Description" dataDxfId="3986"/>
    <tableColumn id="4" name="Label Name" dataDxfId="3985"/>
    <tableColumn id="5" name="Amount" dataDxfId="3984" dataCellStyle="40% - Accent6"/>
  </tableColumns>
  <tableStyleInfo name="TableStyleLight18" showFirstColumn="0" showLastColumn="0" showRowStripes="1" showColumnStripes="0"/>
</table>
</file>

<file path=xl/tables/table304.xml><?xml version="1.0" encoding="utf-8"?>
<table xmlns="http://schemas.openxmlformats.org/spreadsheetml/2006/main" id="304" name="Demolition_38" displayName="Demolition_38" ref="A125:D140" totalsRowShown="0" headerRowDxfId="3983" dataDxfId="3981" headerRowBorderDxfId="3982" tableBorderDxfId="3980" headerRowCellStyle="40% - Accent6">
  <autoFilter ref="A125:D140"/>
  <tableColumns count="4">
    <tableColumn id="1" name="Expense" dataDxfId="3979"/>
    <tableColumn id="2" name="Description" dataDxfId="3978"/>
    <tableColumn id="4" name="Label Name" dataDxfId="3977"/>
    <tableColumn id="5" name="Amount" dataDxfId="3976" dataCellStyle="40% - Accent6"/>
  </tableColumns>
  <tableStyleInfo name="TableStyleLight18" showFirstColumn="0" showLastColumn="0" showRowStripes="1" showColumnStripes="0"/>
</table>
</file>

<file path=xl/tables/table305.xml><?xml version="1.0" encoding="utf-8"?>
<table xmlns="http://schemas.openxmlformats.org/spreadsheetml/2006/main" id="305" name="Rehab_38" displayName="Rehab_38" ref="A144:D159" totalsRowShown="0" headerRowDxfId="3975" dataDxfId="3973" headerRowBorderDxfId="3974" tableBorderDxfId="3972" headerRowCellStyle="40% - Accent6">
  <autoFilter ref="A144:D159"/>
  <tableColumns count="4">
    <tableColumn id="1" name="Expense" dataDxfId="3971"/>
    <tableColumn id="2" name="Description" dataDxfId="3970"/>
    <tableColumn id="4" name="Label Name" dataDxfId="3969"/>
    <tableColumn id="5" name="Amount" dataDxfId="3968" dataCellStyle="40% - Accent6"/>
  </tableColumns>
  <tableStyleInfo name="TableStyleLight18" showFirstColumn="0" showLastColumn="0" showRowStripes="1" showColumnStripes="0"/>
</table>
</file>

<file path=xl/tables/table306.xml><?xml version="1.0" encoding="utf-8"?>
<table xmlns="http://schemas.openxmlformats.org/spreadsheetml/2006/main" id="306" name="Grass_39" displayName="Grass_39" ref="A11:D26" totalsRowShown="0" headerRowDxfId="3967" dataDxfId="3965" headerRowBorderDxfId="3966" tableBorderDxfId="3964" headerRowCellStyle="40% - Accent6">
  <autoFilter ref="A11:D26"/>
  <tableColumns count="4">
    <tableColumn id="1" name="Expense" dataDxfId="3963"/>
    <tableColumn id="2" name="Description" dataDxfId="3962"/>
    <tableColumn id="4" name="Label Name" dataDxfId="3961"/>
    <tableColumn id="5" name="Amount" dataDxfId="3960" dataCellStyle="20% - Accent6"/>
  </tableColumns>
  <tableStyleInfo name="TableStyleLight18" showFirstColumn="0" showLastColumn="0" showRowStripes="1" showColumnStripes="0"/>
</table>
</file>

<file path=xl/tables/table307.xml><?xml version="1.0" encoding="utf-8"?>
<table xmlns="http://schemas.openxmlformats.org/spreadsheetml/2006/main" id="307" name="Tree_39" displayName="Tree_39" ref="A30:D45" totalsRowShown="0" headerRowDxfId="3959" dataDxfId="3957" headerRowBorderDxfId="3958" tableBorderDxfId="3956" headerRowCellStyle="40% - Accent6">
  <autoFilter ref="A30:D45"/>
  <tableColumns count="4">
    <tableColumn id="1" name="Expense" dataDxfId="3955"/>
    <tableColumn id="2" name="Description" dataDxfId="3954"/>
    <tableColumn id="4" name="Label Name" dataDxfId="3953"/>
    <tableColumn id="5" name="Amount" dataDxfId="3952" dataCellStyle="40% - Accent6"/>
  </tableColumns>
  <tableStyleInfo name="TableStyleLight18" showFirstColumn="0" showLastColumn="0" showRowStripes="1" showColumnStripes="0"/>
</table>
</file>

<file path=xl/tables/table308.xml><?xml version="1.0" encoding="utf-8"?>
<table xmlns="http://schemas.openxmlformats.org/spreadsheetml/2006/main" id="308" name="Pest_39" displayName="Pest_39" ref="A49:D64" totalsRowShown="0" headerRowDxfId="3951" dataDxfId="3949" headerRowBorderDxfId="3950" tableBorderDxfId="3948" headerRowCellStyle="40% - Accent6">
  <autoFilter ref="A49:D64"/>
  <tableColumns count="4">
    <tableColumn id="1" name="Expense" dataDxfId="3947"/>
    <tableColumn id="2" name="Description" dataDxfId="3946"/>
    <tableColumn id="4" name="Label Name" dataDxfId="3945"/>
    <tableColumn id="5" name="Amount" dataDxfId="3944" dataCellStyle="40% - Accent6"/>
  </tableColumns>
  <tableStyleInfo name="TableStyleLight18" showFirstColumn="0" showLastColumn="0" showRowStripes="1" showColumnStripes="0"/>
</table>
</file>

<file path=xl/tables/table309.xml><?xml version="1.0" encoding="utf-8"?>
<table xmlns="http://schemas.openxmlformats.org/spreadsheetml/2006/main" id="309" name="Garbage_39" displayName="Garbage_39" ref="A68:D83" totalsRowShown="0" headerRowDxfId="3943" dataDxfId="3941" headerRowBorderDxfId="3942" tableBorderDxfId="3940" headerRowCellStyle="40% - Accent6">
  <autoFilter ref="A68:D83"/>
  <tableColumns count="4">
    <tableColumn id="1" name="Expense" dataDxfId="3939"/>
    <tableColumn id="2" name="Description" dataDxfId="3938"/>
    <tableColumn id="4" name="Label Name" dataDxfId="3937"/>
    <tableColumn id="5" name="Amount" dataDxfId="3936" dataCellStyle="20% - Accent6"/>
  </tableColumns>
  <tableStyleInfo name="TableStyleLight18" showFirstColumn="0" showLastColumn="0" showRowStripes="1" showColumnStripes="0"/>
</table>
</file>

<file path=xl/tables/table31.xml><?xml version="1.0" encoding="utf-8"?>
<table xmlns="http://schemas.openxmlformats.org/spreadsheetml/2006/main" id="96" name="Fence_4" displayName="Fence_4" ref="A106:D121" totalsRowShown="0" headerRowDxfId="6167" dataDxfId="6165" headerRowBorderDxfId="6166" tableBorderDxfId="6164" headerRowCellStyle="40% - Accent6">
  <autoFilter ref="A106:D121"/>
  <tableColumns count="4">
    <tableColumn id="1" name="Expense" dataDxfId="6163"/>
    <tableColumn id="2" name="Description" dataDxfId="6162"/>
    <tableColumn id="4" name="Label Name" dataDxfId="6161"/>
    <tableColumn id="5" name="Amount" dataDxfId="6160" dataCellStyle="40% - Accent6"/>
  </tableColumns>
  <tableStyleInfo name="TableStyleLight18" showFirstColumn="0" showLastColumn="0" showRowStripes="1" showColumnStripes="0"/>
</table>
</file>

<file path=xl/tables/table310.xml><?xml version="1.0" encoding="utf-8"?>
<table xmlns="http://schemas.openxmlformats.org/spreadsheetml/2006/main" id="310" name="Boarding_39" displayName="Boarding_39" ref="A87:D102" totalsRowShown="0" headerRowDxfId="3935" dataDxfId="3933" headerRowBorderDxfId="3934" tableBorderDxfId="3932" headerRowCellStyle="40% - Accent6">
  <autoFilter ref="A87:D102"/>
  <tableColumns count="4">
    <tableColumn id="1" name="Expense" dataDxfId="3931"/>
    <tableColumn id="2" name="Description" dataDxfId="3930"/>
    <tableColumn id="4" name="Label Name" dataDxfId="3929"/>
    <tableColumn id="5" name="Amount" dataDxfId="3928" dataCellStyle="40% - Accent6"/>
  </tableColumns>
  <tableStyleInfo name="TableStyleLight18" showFirstColumn="0" showLastColumn="0" showRowStripes="1" showColumnStripes="0"/>
</table>
</file>

<file path=xl/tables/table311.xml><?xml version="1.0" encoding="utf-8"?>
<table xmlns="http://schemas.openxmlformats.org/spreadsheetml/2006/main" id="311" name="Fence_39" displayName="Fence_39" ref="A106:D121" totalsRowShown="0" headerRowDxfId="3927" dataDxfId="3925" headerRowBorderDxfId="3926" tableBorderDxfId="3924" headerRowCellStyle="40% - Accent6">
  <autoFilter ref="A106:D121"/>
  <tableColumns count="4">
    <tableColumn id="1" name="Expense" dataDxfId="3923"/>
    <tableColumn id="2" name="Description" dataDxfId="3922"/>
    <tableColumn id="4" name="Label Name" dataDxfId="3921"/>
    <tableColumn id="5" name="Amount" dataDxfId="3920" dataCellStyle="40% - Accent6"/>
  </tableColumns>
  <tableStyleInfo name="TableStyleLight18" showFirstColumn="0" showLastColumn="0" showRowStripes="1" showColumnStripes="0"/>
</table>
</file>

<file path=xl/tables/table312.xml><?xml version="1.0" encoding="utf-8"?>
<table xmlns="http://schemas.openxmlformats.org/spreadsheetml/2006/main" id="312" name="Demolition_39" displayName="Demolition_39" ref="A125:D140" totalsRowShown="0" headerRowDxfId="3919" dataDxfId="3917" headerRowBorderDxfId="3918" tableBorderDxfId="3916" headerRowCellStyle="40% - Accent6">
  <autoFilter ref="A125:D140"/>
  <tableColumns count="4">
    <tableColumn id="1" name="Expense" dataDxfId="3915"/>
    <tableColumn id="2" name="Description" dataDxfId="3914"/>
    <tableColumn id="4" name="Label Name" dataDxfId="3913"/>
    <tableColumn id="5" name="Amount" dataDxfId="3912" dataCellStyle="40% - Accent6"/>
  </tableColumns>
  <tableStyleInfo name="TableStyleLight18" showFirstColumn="0" showLastColumn="0" showRowStripes="1" showColumnStripes="0"/>
</table>
</file>

<file path=xl/tables/table313.xml><?xml version="1.0" encoding="utf-8"?>
<table xmlns="http://schemas.openxmlformats.org/spreadsheetml/2006/main" id="313" name="Rehab_39" displayName="Rehab_39" ref="A144:D159" totalsRowShown="0" headerRowDxfId="3911" dataDxfId="3909" headerRowBorderDxfId="3910" tableBorderDxfId="3908" headerRowCellStyle="40% - Accent6">
  <autoFilter ref="A144:D159"/>
  <tableColumns count="4">
    <tableColumn id="1" name="Expense" dataDxfId="3907"/>
    <tableColumn id="2" name="Description" dataDxfId="3906"/>
    <tableColumn id="4" name="Label Name" dataDxfId="3905"/>
    <tableColumn id="5" name="Amount" dataDxfId="3904" dataCellStyle="40% - Accent6"/>
  </tableColumns>
  <tableStyleInfo name="TableStyleLight18" showFirstColumn="0" showLastColumn="0" showRowStripes="1" showColumnStripes="0"/>
</table>
</file>

<file path=xl/tables/table314.xml><?xml version="1.0" encoding="utf-8"?>
<table xmlns="http://schemas.openxmlformats.org/spreadsheetml/2006/main" id="314" name="Grass_40" displayName="Grass_40" ref="A11:D26" totalsRowShown="0" headerRowDxfId="3903" dataDxfId="3901" headerRowBorderDxfId="3902" tableBorderDxfId="3900" headerRowCellStyle="40% - Accent6">
  <autoFilter ref="A11:D26"/>
  <tableColumns count="4">
    <tableColumn id="1" name="Expense" dataDxfId="3899"/>
    <tableColumn id="2" name="Description" dataDxfId="3898"/>
    <tableColumn id="4" name="Label Name" dataDxfId="3897"/>
    <tableColumn id="5" name="Amount" dataDxfId="3896" dataCellStyle="20% - Accent6"/>
  </tableColumns>
  <tableStyleInfo name="TableStyleLight18" showFirstColumn="0" showLastColumn="0" showRowStripes="1" showColumnStripes="0"/>
</table>
</file>

<file path=xl/tables/table315.xml><?xml version="1.0" encoding="utf-8"?>
<table xmlns="http://schemas.openxmlformats.org/spreadsheetml/2006/main" id="315" name="Tree_40" displayName="Tree_40" ref="A30:D45" totalsRowShown="0" headerRowDxfId="3895" dataDxfId="3893" headerRowBorderDxfId="3894" tableBorderDxfId="3892" headerRowCellStyle="40% - Accent6">
  <autoFilter ref="A30:D45"/>
  <tableColumns count="4">
    <tableColumn id="1" name="Expense" dataDxfId="3891"/>
    <tableColumn id="2" name="Description" dataDxfId="3890"/>
    <tableColumn id="4" name="Label Name" dataDxfId="3889"/>
    <tableColumn id="5" name="Amount" dataDxfId="3888" dataCellStyle="40% - Accent6"/>
  </tableColumns>
  <tableStyleInfo name="TableStyleLight18" showFirstColumn="0" showLastColumn="0" showRowStripes="1" showColumnStripes="0"/>
</table>
</file>

<file path=xl/tables/table316.xml><?xml version="1.0" encoding="utf-8"?>
<table xmlns="http://schemas.openxmlformats.org/spreadsheetml/2006/main" id="316" name="Pest_40" displayName="Pest_40" ref="A49:D64" totalsRowShown="0" headerRowDxfId="3887" dataDxfId="3885" headerRowBorderDxfId="3886" tableBorderDxfId="3884" headerRowCellStyle="40% - Accent6">
  <autoFilter ref="A49:D64"/>
  <tableColumns count="4">
    <tableColumn id="1" name="Expense" dataDxfId="3883"/>
    <tableColumn id="2" name="Description" dataDxfId="3882"/>
    <tableColumn id="4" name="Label Name" dataDxfId="3881"/>
    <tableColumn id="5" name="Amount" dataDxfId="3880" dataCellStyle="40% - Accent6"/>
  </tableColumns>
  <tableStyleInfo name="TableStyleLight18" showFirstColumn="0" showLastColumn="0" showRowStripes="1" showColumnStripes="0"/>
</table>
</file>

<file path=xl/tables/table317.xml><?xml version="1.0" encoding="utf-8"?>
<table xmlns="http://schemas.openxmlformats.org/spreadsheetml/2006/main" id="317" name="Garbage_40" displayName="Garbage_40" ref="A68:D83" totalsRowShown="0" headerRowDxfId="3879" dataDxfId="3877" headerRowBorderDxfId="3878" tableBorderDxfId="3876" headerRowCellStyle="40% - Accent6">
  <autoFilter ref="A68:D83"/>
  <tableColumns count="4">
    <tableColumn id="1" name="Expense" dataDxfId="3875"/>
    <tableColumn id="2" name="Description" dataDxfId="3874"/>
    <tableColumn id="4" name="Label Name" dataDxfId="3873"/>
    <tableColumn id="5" name="Amount" dataDxfId="3872" dataCellStyle="20% - Accent6"/>
  </tableColumns>
  <tableStyleInfo name="TableStyleLight18" showFirstColumn="0" showLastColumn="0" showRowStripes="1" showColumnStripes="0"/>
</table>
</file>

<file path=xl/tables/table318.xml><?xml version="1.0" encoding="utf-8"?>
<table xmlns="http://schemas.openxmlformats.org/spreadsheetml/2006/main" id="318" name="Boarding_40" displayName="Boarding_40" ref="A87:D102" totalsRowShown="0" headerRowDxfId="3871" dataDxfId="3869" headerRowBorderDxfId="3870" tableBorderDxfId="3868" headerRowCellStyle="40% - Accent6">
  <autoFilter ref="A87:D102"/>
  <tableColumns count="4">
    <tableColumn id="1" name="Expense" dataDxfId="3867"/>
    <tableColumn id="2" name="Description" dataDxfId="3866"/>
    <tableColumn id="4" name="Label Name" dataDxfId="3865"/>
    <tableColumn id="5" name="Amount" dataDxfId="3864" dataCellStyle="40% - Accent6"/>
  </tableColumns>
  <tableStyleInfo name="TableStyleLight18" showFirstColumn="0" showLastColumn="0" showRowStripes="1" showColumnStripes="0"/>
</table>
</file>

<file path=xl/tables/table319.xml><?xml version="1.0" encoding="utf-8"?>
<table xmlns="http://schemas.openxmlformats.org/spreadsheetml/2006/main" id="319" name="Fence_40" displayName="Fence_40" ref="A106:D121" totalsRowShown="0" headerRowDxfId="3863" dataDxfId="3861" headerRowBorderDxfId="3862" tableBorderDxfId="3860" headerRowCellStyle="40% - Accent6">
  <autoFilter ref="A106:D121"/>
  <tableColumns count="4">
    <tableColumn id="1" name="Expense" dataDxfId="3859"/>
    <tableColumn id="2" name="Description" dataDxfId="3858"/>
    <tableColumn id="4" name="Label Name" dataDxfId="3857"/>
    <tableColumn id="5" name="Amount" dataDxfId="3856" dataCellStyle="40% - Accent6"/>
  </tableColumns>
  <tableStyleInfo name="TableStyleLight18" showFirstColumn="0" showLastColumn="0" showRowStripes="1" showColumnStripes="0"/>
</table>
</file>

<file path=xl/tables/table32.xml><?xml version="1.0" encoding="utf-8"?>
<table xmlns="http://schemas.openxmlformats.org/spreadsheetml/2006/main" id="97" name="Demolition_4" displayName="Demolition_4" ref="A125:D140" totalsRowShown="0" headerRowDxfId="6159" dataDxfId="6157" headerRowBorderDxfId="6158" tableBorderDxfId="6156" headerRowCellStyle="40% - Accent6">
  <autoFilter ref="A125:D140"/>
  <tableColumns count="4">
    <tableColumn id="1" name="Expense" dataDxfId="6155"/>
    <tableColumn id="2" name="Description" dataDxfId="6154"/>
    <tableColumn id="4" name="Label Name" dataDxfId="6153"/>
    <tableColumn id="5" name="Amount" dataDxfId="6152" dataCellStyle="40% - Accent6"/>
  </tableColumns>
  <tableStyleInfo name="TableStyleLight18" showFirstColumn="0" showLastColumn="0" showRowStripes="1" showColumnStripes="0"/>
</table>
</file>

<file path=xl/tables/table320.xml><?xml version="1.0" encoding="utf-8"?>
<table xmlns="http://schemas.openxmlformats.org/spreadsheetml/2006/main" id="320" name="Demolition_40" displayName="Demolition_40" ref="A125:D140" totalsRowShown="0" headerRowDxfId="3855" dataDxfId="3853" headerRowBorderDxfId="3854" tableBorderDxfId="3852" headerRowCellStyle="40% - Accent6">
  <autoFilter ref="A125:D140"/>
  <tableColumns count="4">
    <tableColumn id="1" name="Expense" dataDxfId="3851"/>
    <tableColumn id="2" name="Description" dataDxfId="3850"/>
    <tableColumn id="4" name="Label Name" dataDxfId="3849"/>
    <tableColumn id="5" name="Amount" dataDxfId="3848" dataCellStyle="40% - Accent6"/>
  </tableColumns>
  <tableStyleInfo name="TableStyleLight18" showFirstColumn="0" showLastColumn="0" showRowStripes="1" showColumnStripes="0"/>
</table>
</file>

<file path=xl/tables/table321.xml><?xml version="1.0" encoding="utf-8"?>
<table xmlns="http://schemas.openxmlformats.org/spreadsheetml/2006/main" id="321" name="Rehab_40" displayName="Rehab_40" ref="A144:D159" totalsRowShown="0" headerRowDxfId="3847" dataDxfId="3845" headerRowBorderDxfId="3846" tableBorderDxfId="3844" headerRowCellStyle="40% - Accent6">
  <autoFilter ref="A144:D159"/>
  <tableColumns count="4">
    <tableColumn id="1" name="Expense" dataDxfId="3843"/>
    <tableColumn id="2" name="Description" dataDxfId="3842"/>
    <tableColumn id="4" name="Label Name" dataDxfId="3841"/>
    <tableColumn id="5" name="Amount" dataDxfId="3840" dataCellStyle="40% - Accent6"/>
  </tableColumns>
  <tableStyleInfo name="TableStyleLight18" showFirstColumn="0" showLastColumn="0" showRowStripes="1" showColumnStripes="0"/>
</table>
</file>

<file path=xl/tables/table322.xml><?xml version="1.0" encoding="utf-8"?>
<table xmlns="http://schemas.openxmlformats.org/spreadsheetml/2006/main" id="322" name="Grass_41" displayName="Grass_41" ref="A11:D26" totalsRowShown="0" headerRowDxfId="3839" dataDxfId="3837" headerRowBorderDxfId="3838" tableBorderDxfId="3836" headerRowCellStyle="40% - Accent6">
  <autoFilter ref="A11:D26"/>
  <tableColumns count="4">
    <tableColumn id="1" name="Expense" dataDxfId="3835"/>
    <tableColumn id="2" name="Description" dataDxfId="3834"/>
    <tableColumn id="4" name="Label Name" dataDxfId="3833"/>
    <tableColumn id="5" name="Amount" dataDxfId="3832" dataCellStyle="20% - Accent6"/>
  </tableColumns>
  <tableStyleInfo name="TableStyleLight18" showFirstColumn="0" showLastColumn="0" showRowStripes="1" showColumnStripes="0"/>
</table>
</file>

<file path=xl/tables/table323.xml><?xml version="1.0" encoding="utf-8"?>
<table xmlns="http://schemas.openxmlformats.org/spreadsheetml/2006/main" id="323" name="Tree_41" displayName="Tree_41" ref="A30:D45" totalsRowShown="0" headerRowDxfId="3831" dataDxfId="3829" headerRowBorderDxfId="3830" tableBorderDxfId="3828" headerRowCellStyle="40% - Accent6">
  <autoFilter ref="A30:D45"/>
  <tableColumns count="4">
    <tableColumn id="1" name="Expense" dataDxfId="3827"/>
    <tableColumn id="2" name="Description" dataDxfId="3826"/>
    <tableColumn id="4" name="Label Name" dataDxfId="3825"/>
    <tableColumn id="5" name="Amount" dataDxfId="3824" dataCellStyle="40% - Accent6"/>
  </tableColumns>
  <tableStyleInfo name="TableStyleLight18" showFirstColumn="0" showLastColumn="0" showRowStripes="1" showColumnStripes="0"/>
</table>
</file>

<file path=xl/tables/table324.xml><?xml version="1.0" encoding="utf-8"?>
<table xmlns="http://schemas.openxmlformats.org/spreadsheetml/2006/main" id="324" name="Pest_41" displayName="Pest_41" ref="A49:D64" totalsRowShown="0" headerRowDxfId="3823" dataDxfId="3821" headerRowBorderDxfId="3822" tableBorderDxfId="3820" headerRowCellStyle="40% - Accent6">
  <autoFilter ref="A49:D64"/>
  <tableColumns count="4">
    <tableColumn id="1" name="Expense" dataDxfId="3819"/>
    <tableColumn id="2" name="Description" dataDxfId="3818"/>
    <tableColumn id="4" name="Label Name" dataDxfId="3817"/>
    <tableColumn id="5" name="Amount" dataDxfId="3816" dataCellStyle="40% - Accent6"/>
  </tableColumns>
  <tableStyleInfo name="TableStyleLight18" showFirstColumn="0" showLastColumn="0" showRowStripes="1" showColumnStripes="0"/>
</table>
</file>

<file path=xl/tables/table325.xml><?xml version="1.0" encoding="utf-8"?>
<table xmlns="http://schemas.openxmlformats.org/spreadsheetml/2006/main" id="325" name="Garbage_41" displayName="Garbage_41" ref="A68:D83" totalsRowShown="0" headerRowDxfId="3815" dataDxfId="3813" headerRowBorderDxfId="3814" tableBorderDxfId="3812" headerRowCellStyle="40% - Accent6">
  <autoFilter ref="A68:D83"/>
  <tableColumns count="4">
    <tableColumn id="1" name="Expense" dataDxfId="3811"/>
    <tableColumn id="2" name="Description" dataDxfId="3810"/>
    <tableColumn id="4" name="Label Name" dataDxfId="3809"/>
    <tableColumn id="5" name="Amount" dataDxfId="3808" dataCellStyle="20% - Accent6"/>
  </tableColumns>
  <tableStyleInfo name="TableStyleLight18" showFirstColumn="0" showLastColumn="0" showRowStripes="1" showColumnStripes="0"/>
</table>
</file>

<file path=xl/tables/table326.xml><?xml version="1.0" encoding="utf-8"?>
<table xmlns="http://schemas.openxmlformats.org/spreadsheetml/2006/main" id="326" name="Boarding_41" displayName="Boarding_41" ref="A87:D102" totalsRowShown="0" headerRowDxfId="3807" dataDxfId="3805" headerRowBorderDxfId="3806" tableBorderDxfId="3804" headerRowCellStyle="40% - Accent6">
  <autoFilter ref="A87:D102"/>
  <tableColumns count="4">
    <tableColumn id="1" name="Expense" dataDxfId="3803"/>
    <tableColumn id="2" name="Description" dataDxfId="3802"/>
    <tableColumn id="4" name="Label Name" dataDxfId="3801"/>
    <tableColumn id="5" name="Amount" dataDxfId="3800" dataCellStyle="40% - Accent6"/>
  </tableColumns>
  <tableStyleInfo name="TableStyleLight18" showFirstColumn="0" showLastColumn="0" showRowStripes="1" showColumnStripes="0"/>
</table>
</file>

<file path=xl/tables/table327.xml><?xml version="1.0" encoding="utf-8"?>
<table xmlns="http://schemas.openxmlformats.org/spreadsheetml/2006/main" id="327" name="Fence_41" displayName="Fence_41" ref="A106:D121" totalsRowShown="0" headerRowDxfId="3799" dataDxfId="3797" headerRowBorderDxfId="3798" tableBorderDxfId="3796" headerRowCellStyle="40% - Accent6">
  <autoFilter ref="A106:D121"/>
  <tableColumns count="4">
    <tableColumn id="1" name="Expense" dataDxfId="3795"/>
    <tableColumn id="2" name="Description" dataDxfId="3794"/>
    <tableColumn id="4" name="Label Name" dataDxfId="3793"/>
    <tableColumn id="5" name="Amount" dataDxfId="3792" dataCellStyle="40% - Accent6"/>
  </tableColumns>
  <tableStyleInfo name="TableStyleLight18" showFirstColumn="0" showLastColumn="0" showRowStripes="1" showColumnStripes="0"/>
</table>
</file>

<file path=xl/tables/table328.xml><?xml version="1.0" encoding="utf-8"?>
<table xmlns="http://schemas.openxmlformats.org/spreadsheetml/2006/main" id="328" name="Demolition_41" displayName="Demolition_41" ref="A125:D140" totalsRowShown="0" headerRowDxfId="3791" dataDxfId="3789" headerRowBorderDxfId="3790" tableBorderDxfId="3788" headerRowCellStyle="40% - Accent6">
  <autoFilter ref="A125:D140"/>
  <tableColumns count="4">
    <tableColumn id="1" name="Expense" dataDxfId="3787"/>
    <tableColumn id="2" name="Description" dataDxfId="3786"/>
    <tableColumn id="4" name="Label Name" dataDxfId="3785"/>
    <tableColumn id="5" name="Amount" dataDxfId="3784" dataCellStyle="40% - Accent6"/>
  </tableColumns>
  <tableStyleInfo name="TableStyleLight18" showFirstColumn="0" showLastColumn="0" showRowStripes="1" showColumnStripes="0"/>
</table>
</file>

<file path=xl/tables/table329.xml><?xml version="1.0" encoding="utf-8"?>
<table xmlns="http://schemas.openxmlformats.org/spreadsheetml/2006/main" id="329" name="Rehab_41" displayName="Rehab_41" ref="A144:D159" totalsRowShown="0" headerRowDxfId="3783" dataDxfId="3781" headerRowBorderDxfId="3782" tableBorderDxfId="3780" headerRowCellStyle="40% - Accent6">
  <autoFilter ref="A144:D159"/>
  <tableColumns count="4">
    <tableColumn id="1" name="Expense" dataDxfId="3779"/>
    <tableColumn id="2" name="Description" dataDxfId="3778"/>
    <tableColumn id="4" name="Label Name" dataDxfId="3777"/>
    <tableColumn id="5" name="Amount" dataDxfId="3776" dataCellStyle="40% - Accent6"/>
  </tableColumns>
  <tableStyleInfo name="TableStyleLight18" showFirstColumn="0" showLastColumn="0" showRowStripes="1" showColumnStripes="0"/>
</table>
</file>

<file path=xl/tables/table33.xml><?xml version="1.0" encoding="utf-8"?>
<table xmlns="http://schemas.openxmlformats.org/spreadsheetml/2006/main" id="98" name="Rehab_4" displayName="Rehab_4" ref="A144:D159" totalsRowShown="0" headerRowDxfId="6151" dataDxfId="6149" headerRowBorderDxfId="6150" tableBorderDxfId="6148" headerRowCellStyle="40% - Accent6">
  <autoFilter ref="A144:D159"/>
  <tableColumns count="4">
    <tableColumn id="1" name="Expense" dataDxfId="6147"/>
    <tableColumn id="2" name="Description" dataDxfId="6146"/>
    <tableColumn id="4" name="Label Name" dataDxfId="6145"/>
    <tableColumn id="5" name="Amount" dataDxfId="6144" dataCellStyle="40% - Accent6"/>
  </tableColumns>
  <tableStyleInfo name="TableStyleLight18" showFirstColumn="0" showLastColumn="0" showRowStripes="1" showColumnStripes="0"/>
</table>
</file>

<file path=xl/tables/table330.xml><?xml version="1.0" encoding="utf-8"?>
<table xmlns="http://schemas.openxmlformats.org/spreadsheetml/2006/main" id="330" name="Grass_42" displayName="Grass_42" ref="A11:D26" totalsRowShown="0" headerRowDxfId="3775" dataDxfId="3773" headerRowBorderDxfId="3774" tableBorderDxfId="3772" headerRowCellStyle="40% - Accent6">
  <autoFilter ref="A11:D26"/>
  <tableColumns count="4">
    <tableColumn id="1" name="Expense" dataDxfId="3771"/>
    <tableColumn id="2" name="Description" dataDxfId="3770"/>
    <tableColumn id="4" name="Label Name" dataDxfId="3769"/>
    <tableColumn id="5" name="Amount" dataDxfId="3768" dataCellStyle="20% - Accent6"/>
  </tableColumns>
  <tableStyleInfo name="TableStyleLight18" showFirstColumn="0" showLastColumn="0" showRowStripes="1" showColumnStripes="0"/>
</table>
</file>

<file path=xl/tables/table331.xml><?xml version="1.0" encoding="utf-8"?>
<table xmlns="http://schemas.openxmlformats.org/spreadsheetml/2006/main" id="331" name="Tree_42" displayName="Tree_42" ref="A30:D45" totalsRowShown="0" headerRowDxfId="3767" dataDxfId="3765" headerRowBorderDxfId="3766" tableBorderDxfId="3764" headerRowCellStyle="40% - Accent6">
  <autoFilter ref="A30:D45"/>
  <tableColumns count="4">
    <tableColumn id="1" name="Expense" dataDxfId="3763"/>
    <tableColumn id="2" name="Description" dataDxfId="3762"/>
    <tableColumn id="4" name="Label Name" dataDxfId="3761"/>
    <tableColumn id="5" name="Amount" dataDxfId="3760" dataCellStyle="40% - Accent6"/>
  </tableColumns>
  <tableStyleInfo name="TableStyleLight18" showFirstColumn="0" showLastColumn="0" showRowStripes="1" showColumnStripes="0"/>
</table>
</file>

<file path=xl/tables/table332.xml><?xml version="1.0" encoding="utf-8"?>
<table xmlns="http://schemas.openxmlformats.org/spreadsheetml/2006/main" id="332" name="Pest_42" displayName="Pest_42" ref="A49:D64" totalsRowShown="0" headerRowDxfId="3759" dataDxfId="3757" headerRowBorderDxfId="3758" tableBorderDxfId="3756" headerRowCellStyle="40% - Accent6">
  <autoFilter ref="A49:D64"/>
  <tableColumns count="4">
    <tableColumn id="1" name="Expense" dataDxfId="3755"/>
    <tableColumn id="2" name="Description" dataDxfId="3754"/>
    <tableColumn id="4" name="Label Name" dataDxfId="3753"/>
    <tableColumn id="5" name="Amount" dataDxfId="3752" dataCellStyle="40% - Accent6"/>
  </tableColumns>
  <tableStyleInfo name="TableStyleLight18" showFirstColumn="0" showLastColumn="0" showRowStripes="1" showColumnStripes="0"/>
</table>
</file>

<file path=xl/tables/table333.xml><?xml version="1.0" encoding="utf-8"?>
<table xmlns="http://schemas.openxmlformats.org/spreadsheetml/2006/main" id="333" name="Garbage_42" displayName="Garbage_42" ref="A68:D83" totalsRowShown="0" headerRowDxfId="3751" dataDxfId="3749" headerRowBorderDxfId="3750" tableBorderDxfId="3748" headerRowCellStyle="40% - Accent6">
  <autoFilter ref="A68:D83"/>
  <tableColumns count="4">
    <tableColumn id="1" name="Expense" dataDxfId="3747"/>
    <tableColumn id="2" name="Description" dataDxfId="3746"/>
    <tableColumn id="4" name="Label Name" dataDxfId="3745"/>
    <tableColumn id="5" name="Amount" dataDxfId="3744" dataCellStyle="20% - Accent6"/>
  </tableColumns>
  <tableStyleInfo name="TableStyleLight18" showFirstColumn="0" showLastColumn="0" showRowStripes="1" showColumnStripes="0"/>
</table>
</file>

<file path=xl/tables/table334.xml><?xml version="1.0" encoding="utf-8"?>
<table xmlns="http://schemas.openxmlformats.org/spreadsheetml/2006/main" id="334" name="Boarding_42" displayName="Boarding_42" ref="A87:D102" totalsRowShown="0" headerRowDxfId="3743" dataDxfId="3741" headerRowBorderDxfId="3742" tableBorderDxfId="3740" headerRowCellStyle="40% - Accent6">
  <autoFilter ref="A87:D102"/>
  <tableColumns count="4">
    <tableColumn id="1" name="Expense" dataDxfId="3739"/>
    <tableColumn id="2" name="Description" dataDxfId="3738"/>
    <tableColumn id="4" name="Label Name" dataDxfId="3737"/>
    <tableColumn id="5" name="Amount" dataDxfId="3736" dataCellStyle="40% - Accent6"/>
  </tableColumns>
  <tableStyleInfo name="TableStyleLight18" showFirstColumn="0" showLastColumn="0" showRowStripes="1" showColumnStripes="0"/>
</table>
</file>

<file path=xl/tables/table335.xml><?xml version="1.0" encoding="utf-8"?>
<table xmlns="http://schemas.openxmlformats.org/spreadsheetml/2006/main" id="335" name="Fence_42" displayName="Fence_42" ref="A106:D121" totalsRowShown="0" headerRowDxfId="3735" dataDxfId="3733" headerRowBorderDxfId="3734" tableBorderDxfId="3732" headerRowCellStyle="40% - Accent6">
  <autoFilter ref="A106:D121"/>
  <tableColumns count="4">
    <tableColumn id="1" name="Expense" dataDxfId="3731"/>
    <tableColumn id="2" name="Description" dataDxfId="3730"/>
    <tableColumn id="4" name="Label Name" dataDxfId="3729"/>
    <tableColumn id="5" name="Amount" dataDxfId="3728" dataCellStyle="40% - Accent6"/>
  </tableColumns>
  <tableStyleInfo name="TableStyleLight18" showFirstColumn="0" showLastColumn="0" showRowStripes="1" showColumnStripes="0"/>
</table>
</file>

<file path=xl/tables/table336.xml><?xml version="1.0" encoding="utf-8"?>
<table xmlns="http://schemas.openxmlformats.org/spreadsheetml/2006/main" id="336" name="Demolition_42" displayName="Demolition_42" ref="A125:D140" totalsRowShown="0" headerRowDxfId="3727" dataDxfId="3725" headerRowBorderDxfId="3726" tableBorderDxfId="3724" headerRowCellStyle="40% - Accent6">
  <autoFilter ref="A125:D140"/>
  <tableColumns count="4">
    <tableColumn id="1" name="Expense" dataDxfId="3723"/>
    <tableColumn id="2" name="Description" dataDxfId="3722"/>
    <tableColumn id="4" name="Label Name" dataDxfId="3721"/>
    <tableColumn id="5" name="Amount" dataDxfId="3720" dataCellStyle="40% - Accent6"/>
  </tableColumns>
  <tableStyleInfo name="TableStyleLight18" showFirstColumn="0" showLastColumn="0" showRowStripes="1" showColumnStripes="0"/>
</table>
</file>

<file path=xl/tables/table337.xml><?xml version="1.0" encoding="utf-8"?>
<table xmlns="http://schemas.openxmlformats.org/spreadsheetml/2006/main" id="337" name="Rehab_42" displayName="Rehab_42" ref="A144:D159" totalsRowShown="0" headerRowDxfId="3719" dataDxfId="3717" headerRowBorderDxfId="3718" tableBorderDxfId="3716" headerRowCellStyle="40% - Accent6">
  <autoFilter ref="A144:D159"/>
  <tableColumns count="4">
    <tableColumn id="1" name="Expense" dataDxfId="3715"/>
    <tableColumn id="2" name="Description" dataDxfId="3714"/>
    <tableColumn id="4" name="Label Name" dataDxfId="3713"/>
    <tableColumn id="5" name="Amount" dataDxfId="3712" dataCellStyle="40% - Accent6"/>
  </tableColumns>
  <tableStyleInfo name="TableStyleLight18" showFirstColumn="0" showLastColumn="0" showRowStripes="1" showColumnStripes="0"/>
</table>
</file>

<file path=xl/tables/table338.xml><?xml version="1.0" encoding="utf-8"?>
<table xmlns="http://schemas.openxmlformats.org/spreadsheetml/2006/main" id="338" name="Grass_43" displayName="Grass_43" ref="A11:D26" totalsRowShown="0" headerRowDxfId="3711" dataDxfId="3709" headerRowBorderDxfId="3710" tableBorderDxfId="3708" headerRowCellStyle="40% - Accent6">
  <autoFilter ref="A11:D26"/>
  <tableColumns count="4">
    <tableColumn id="1" name="Expense" dataDxfId="3707"/>
    <tableColumn id="2" name="Description" dataDxfId="3706"/>
    <tableColumn id="4" name="Label Name" dataDxfId="3705"/>
    <tableColumn id="5" name="Amount" dataDxfId="3704" dataCellStyle="20% - Accent6"/>
  </tableColumns>
  <tableStyleInfo name="TableStyleLight18" showFirstColumn="0" showLastColumn="0" showRowStripes="1" showColumnStripes="0"/>
</table>
</file>

<file path=xl/tables/table339.xml><?xml version="1.0" encoding="utf-8"?>
<table xmlns="http://schemas.openxmlformats.org/spreadsheetml/2006/main" id="339" name="Tree_43" displayName="Tree_43" ref="A30:D45" totalsRowShown="0" headerRowDxfId="3703" dataDxfId="3701" headerRowBorderDxfId="3702" tableBorderDxfId="3700" headerRowCellStyle="40% - Accent6">
  <autoFilter ref="A30:D45"/>
  <tableColumns count="4">
    <tableColumn id="1" name="Expense" dataDxfId="3699"/>
    <tableColumn id="2" name="Description" dataDxfId="3698"/>
    <tableColumn id="4" name="Label Name" dataDxfId="3697"/>
    <tableColumn id="5" name="Amount" dataDxfId="3696" dataCellStyle="40% - Accent6"/>
  </tableColumns>
  <tableStyleInfo name="TableStyleLight18" showFirstColumn="0" showLastColumn="0" showRowStripes="1" showColumnStripes="0"/>
</table>
</file>

<file path=xl/tables/table34.xml><?xml version="1.0" encoding="utf-8"?>
<table xmlns="http://schemas.openxmlformats.org/spreadsheetml/2006/main" id="99" name="Grass_5" displayName="Grass_5" ref="A11:D26" totalsRowShown="0" headerRowDxfId="6143" dataDxfId="6141" headerRowBorderDxfId="6142" tableBorderDxfId="6140" headerRowCellStyle="40% - Accent6">
  <autoFilter ref="A11:D26"/>
  <tableColumns count="4">
    <tableColumn id="1" name="Expense" dataDxfId="6139"/>
    <tableColumn id="2" name="Description" dataDxfId="6138"/>
    <tableColumn id="4" name="Label Name" dataDxfId="6137"/>
    <tableColumn id="5" name="Amount" dataDxfId="6136" dataCellStyle="20% - Accent6"/>
  </tableColumns>
  <tableStyleInfo name="TableStyleLight18" showFirstColumn="0" showLastColumn="0" showRowStripes="1" showColumnStripes="0"/>
</table>
</file>

<file path=xl/tables/table340.xml><?xml version="1.0" encoding="utf-8"?>
<table xmlns="http://schemas.openxmlformats.org/spreadsheetml/2006/main" id="340" name="Pest_43" displayName="Pest_43" ref="A49:D64" totalsRowShown="0" headerRowDxfId="3695" dataDxfId="3693" headerRowBorderDxfId="3694" tableBorderDxfId="3692" headerRowCellStyle="40% - Accent6">
  <autoFilter ref="A49:D64"/>
  <tableColumns count="4">
    <tableColumn id="1" name="Expense" dataDxfId="3691"/>
    <tableColumn id="2" name="Description" dataDxfId="3690"/>
    <tableColumn id="4" name="Label Name" dataDxfId="3689"/>
    <tableColumn id="5" name="Amount" dataDxfId="3688" dataCellStyle="40% - Accent6"/>
  </tableColumns>
  <tableStyleInfo name="TableStyleLight18" showFirstColumn="0" showLastColumn="0" showRowStripes="1" showColumnStripes="0"/>
</table>
</file>

<file path=xl/tables/table341.xml><?xml version="1.0" encoding="utf-8"?>
<table xmlns="http://schemas.openxmlformats.org/spreadsheetml/2006/main" id="341" name="Garbage_43" displayName="Garbage_43" ref="A68:D83" totalsRowShown="0" headerRowDxfId="3687" dataDxfId="3685" headerRowBorderDxfId="3686" tableBorderDxfId="3684" headerRowCellStyle="40% - Accent6">
  <autoFilter ref="A68:D83"/>
  <tableColumns count="4">
    <tableColumn id="1" name="Expense" dataDxfId="3683"/>
    <tableColumn id="2" name="Description" dataDxfId="3682"/>
    <tableColumn id="4" name="Label Name" dataDxfId="3681"/>
    <tableColumn id="5" name="Amount" dataDxfId="3680" dataCellStyle="20% - Accent6"/>
  </tableColumns>
  <tableStyleInfo name="TableStyleLight18" showFirstColumn="0" showLastColumn="0" showRowStripes="1" showColumnStripes="0"/>
</table>
</file>

<file path=xl/tables/table342.xml><?xml version="1.0" encoding="utf-8"?>
<table xmlns="http://schemas.openxmlformats.org/spreadsheetml/2006/main" id="342" name="Boarding_43" displayName="Boarding_43" ref="A87:D102" totalsRowShown="0" headerRowDxfId="3679" dataDxfId="3677" headerRowBorderDxfId="3678" tableBorderDxfId="3676" headerRowCellStyle="40% - Accent6">
  <autoFilter ref="A87:D102"/>
  <tableColumns count="4">
    <tableColumn id="1" name="Expense" dataDxfId="3675"/>
    <tableColumn id="2" name="Description" dataDxfId="3674"/>
    <tableColumn id="4" name="Label Name" dataDxfId="3673"/>
    <tableColumn id="5" name="Amount" dataDxfId="3672" dataCellStyle="40% - Accent6"/>
  </tableColumns>
  <tableStyleInfo name="TableStyleLight18" showFirstColumn="0" showLastColumn="0" showRowStripes="1" showColumnStripes="0"/>
</table>
</file>

<file path=xl/tables/table343.xml><?xml version="1.0" encoding="utf-8"?>
<table xmlns="http://schemas.openxmlformats.org/spreadsheetml/2006/main" id="343" name="Fence_43" displayName="Fence_43" ref="A106:D121" totalsRowShown="0" headerRowDxfId="3671" dataDxfId="3669" headerRowBorderDxfId="3670" tableBorderDxfId="3668" headerRowCellStyle="40% - Accent6">
  <autoFilter ref="A106:D121"/>
  <tableColumns count="4">
    <tableColumn id="1" name="Expense" dataDxfId="3667"/>
    <tableColumn id="2" name="Description" dataDxfId="3666"/>
    <tableColumn id="4" name="Label Name" dataDxfId="3665"/>
    <tableColumn id="5" name="Amount" dataDxfId="3664" dataCellStyle="40% - Accent6"/>
  </tableColumns>
  <tableStyleInfo name="TableStyleLight18" showFirstColumn="0" showLastColumn="0" showRowStripes="1" showColumnStripes="0"/>
</table>
</file>

<file path=xl/tables/table344.xml><?xml version="1.0" encoding="utf-8"?>
<table xmlns="http://schemas.openxmlformats.org/spreadsheetml/2006/main" id="344" name="Demolition_43" displayName="Demolition_43" ref="A125:D140" totalsRowShown="0" headerRowDxfId="3663" dataDxfId="3661" headerRowBorderDxfId="3662" tableBorderDxfId="3660" headerRowCellStyle="40% - Accent6">
  <autoFilter ref="A125:D140"/>
  <tableColumns count="4">
    <tableColumn id="1" name="Expense" dataDxfId="3659"/>
    <tableColumn id="2" name="Description" dataDxfId="3658"/>
    <tableColumn id="4" name="Label Name" dataDxfId="3657"/>
    <tableColumn id="5" name="Amount" dataDxfId="3656" dataCellStyle="40% - Accent6"/>
  </tableColumns>
  <tableStyleInfo name="TableStyleLight18" showFirstColumn="0" showLastColumn="0" showRowStripes="1" showColumnStripes="0"/>
</table>
</file>

<file path=xl/tables/table345.xml><?xml version="1.0" encoding="utf-8"?>
<table xmlns="http://schemas.openxmlformats.org/spreadsheetml/2006/main" id="345" name="Rehab_43" displayName="Rehab_43" ref="A144:D159" totalsRowShown="0" headerRowDxfId="3655" dataDxfId="3653" headerRowBorderDxfId="3654" tableBorderDxfId="3652" headerRowCellStyle="40% - Accent6">
  <autoFilter ref="A144:D159"/>
  <tableColumns count="4">
    <tableColumn id="1" name="Expense" dataDxfId="3651"/>
    <tableColumn id="2" name="Description" dataDxfId="3650"/>
    <tableColumn id="4" name="Label Name" dataDxfId="3649"/>
    <tableColumn id="5" name="Amount" dataDxfId="3648" dataCellStyle="40% - Accent6"/>
  </tableColumns>
  <tableStyleInfo name="TableStyleLight18" showFirstColumn="0" showLastColumn="0" showRowStripes="1" showColumnStripes="0"/>
</table>
</file>

<file path=xl/tables/table346.xml><?xml version="1.0" encoding="utf-8"?>
<table xmlns="http://schemas.openxmlformats.org/spreadsheetml/2006/main" id="346" name="Grass_44" displayName="Grass_44" ref="A11:D26" totalsRowShown="0" headerRowDxfId="3647" dataDxfId="3645" headerRowBorderDxfId="3646" tableBorderDxfId="3644" headerRowCellStyle="40% - Accent6">
  <autoFilter ref="A11:D26"/>
  <tableColumns count="4">
    <tableColumn id="1" name="Expense" dataDxfId="3643"/>
    <tableColumn id="2" name="Description" dataDxfId="3642"/>
    <tableColumn id="4" name="Label Name" dataDxfId="3641"/>
    <tableColumn id="5" name="Amount" dataDxfId="3640" dataCellStyle="20% - Accent6"/>
  </tableColumns>
  <tableStyleInfo name="TableStyleLight18" showFirstColumn="0" showLastColumn="0" showRowStripes="1" showColumnStripes="0"/>
</table>
</file>

<file path=xl/tables/table347.xml><?xml version="1.0" encoding="utf-8"?>
<table xmlns="http://schemas.openxmlformats.org/spreadsheetml/2006/main" id="347" name="Tree_44" displayName="Tree_44" ref="A30:D45" totalsRowShown="0" headerRowDxfId="3639" dataDxfId="3637" headerRowBorderDxfId="3638" tableBorderDxfId="3636" headerRowCellStyle="40% - Accent6">
  <autoFilter ref="A30:D45"/>
  <tableColumns count="4">
    <tableColumn id="1" name="Expense" dataDxfId="3635"/>
    <tableColumn id="2" name="Description" dataDxfId="3634"/>
    <tableColumn id="4" name="Label Name" dataDxfId="3633"/>
    <tableColumn id="5" name="Amount" dataDxfId="3632" dataCellStyle="40% - Accent6"/>
  </tableColumns>
  <tableStyleInfo name="TableStyleLight18" showFirstColumn="0" showLastColumn="0" showRowStripes="1" showColumnStripes="0"/>
</table>
</file>

<file path=xl/tables/table348.xml><?xml version="1.0" encoding="utf-8"?>
<table xmlns="http://schemas.openxmlformats.org/spreadsheetml/2006/main" id="348" name="Pest_44" displayName="Pest_44" ref="A49:D64" totalsRowShown="0" headerRowDxfId="3631" dataDxfId="3629" headerRowBorderDxfId="3630" tableBorderDxfId="3628" headerRowCellStyle="40% - Accent6">
  <autoFilter ref="A49:D64"/>
  <tableColumns count="4">
    <tableColumn id="1" name="Expense" dataDxfId="3627"/>
    <tableColumn id="2" name="Description" dataDxfId="3626"/>
    <tableColumn id="4" name="Label Name" dataDxfId="3625"/>
    <tableColumn id="5" name="Amount" dataDxfId="3624" dataCellStyle="40% - Accent6"/>
  </tableColumns>
  <tableStyleInfo name="TableStyleLight18" showFirstColumn="0" showLastColumn="0" showRowStripes="1" showColumnStripes="0"/>
</table>
</file>

<file path=xl/tables/table349.xml><?xml version="1.0" encoding="utf-8"?>
<table xmlns="http://schemas.openxmlformats.org/spreadsheetml/2006/main" id="349" name="Garbage_44" displayName="Garbage_44" ref="A68:D83" totalsRowShown="0" headerRowDxfId="3623" dataDxfId="3621" headerRowBorderDxfId="3622" tableBorderDxfId="3620" headerRowCellStyle="40% - Accent6">
  <autoFilter ref="A68:D83"/>
  <tableColumns count="4">
    <tableColumn id="1" name="Expense" dataDxfId="3619"/>
    <tableColumn id="2" name="Description" dataDxfId="3618"/>
    <tableColumn id="4" name="Label Name" dataDxfId="3617"/>
    <tableColumn id="5" name="Amount" dataDxfId="3616" dataCellStyle="20% - Accent6"/>
  </tableColumns>
  <tableStyleInfo name="TableStyleLight18" showFirstColumn="0" showLastColumn="0" showRowStripes="1" showColumnStripes="0"/>
</table>
</file>

<file path=xl/tables/table35.xml><?xml version="1.0" encoding="utf-8"?>
<table xmlns="http://schemas.openxmlformats.org/spreadsheetml/2006/main" id="100" name="Tree_5" displayName="Tree_5" ref="A30:D45" totalsRowShown="0" headerRowDxfId="6135" dataDxfId="6133" headerRowBorderDxfId="6134" tableBorderDxfId="6132" headerRowCellStyle="40% - Accent6">
  <autoFilter ref="A30:D45"/>
  <tableColumns count="4">
    <tableColumn id="1" name="Expense" dataDxfId="6131"/>
    <tableColumn id="2" name="Description" dataDxfId="6130"/>
    <tableColumn id="4" name="Label Name" dataDxfId="6129"/>
    <tableColumn id="5" name="Amount" dataDxfId="6128" dataCellStyle="40% - Accent6"/>
  </tableColumns>
  <tableStyleInfo name="TableStyleLight18" showFirstColumn="0" showLastColumn="0" showRowStripes="1" showColumnStripes="0"/>
</table>
</file>

<file path=xl/tables/table350.xml><?xml version="1.0" encoding="utf-8"?>
<table xmlns="http://schemas.openxmlformats.org/spreadsheetml/2006/main" id="350" name="Boarding_44" displayName="Boarding_44" ref="A87:D102" totalsRowShown="0" headerRowDxfId="3615" dataDxfId="3613" headerRowBorderDxfId="3614" tableBorderDxfId="3612" headerRowCellStyle="40% - Accent6">
  <autoFilter ref="A87:D102"/>
  <tableColumns count="4">
    <tableColumn id="1" name="Expense" dataDxfId="3611"/>
    <tableColumn id="2" name="Description" dataDxfId="3610"/>
    <tableColumn id="4" name="Label Name" dataDxfId="3609"/>
    <tableColumn id="5" name="Amount" dataDxfId="3608" dataCellStyle="40% - Accent6"/>
  </tableColumns>
  <tableStyleInfo name="TableStyleLight18" showFirstColumn="0" showLastColumn="0" showRowStripes="1" showColumnStripes="0"/>
</table>
</file>

<file path=xl/tables/table351.xml><?xml version="1.0" encoding="utf-8"?>
<table xmlns="http://schemas.openxmlformats.org/spreadsheetml/2006/main" id="351" name="Fence_44" displayName="Fence_44" ref="A106:D121" totalsRowShown="0" headerRowDxfId="3607" dataDxfId="3605" headerRowBorderDxfId="3606" tableBorderDxfId="3604" headerRowCellStyle="40% - Accent6">
  <autoFilter ref="A106:D121"/>
  <tableColumns count="4">
    <tableColumn id="1" name="Expense" dataDxfId="3603"/>
    <tableColumn id="2" name="Description" dataDxfId="3602"/>
    <tableColumn id="4" name="Label Name" dataDxfId="3601"/>
    <tableColumn id="5" name="Amount" dataDxfId="3600" dataCellStyle="40% - Accent6"/>
  </tableColumns>
  <tableStyleInfo name="TableStyleLight18" showFirstColumn="0" showLastColumn="0" showRowStripes="1" showColumnStripes="0"/>
</table>
</file>

<file path=xl/tables/table352.xml><?xml version="1.0" encoding="utf-8"?>
<table xmlns="http://schemas.openxmlformats.org/spreadsheetml/2006/main" id="352" name="Demolition_44" displayName="Demolition_44" ref="A125:D140" totalsRowShown="0" headerRowDxfId="3599" dataDxfId="3597" headerRowBorderDxfId="3598" tableBorderDxfId="3596" headerRowCellStyle="40% - Accent6">
  <autoFilter ref="A125:D140"/>
  <tableColumns count="4">
    <tableColumn id="1" name="Expense" dataDxfId="3595"/>
    <tableColumn id="2" name="Description" dataDxfId="3594"/>
    <tableColumn id="4" name="Label Name" dataDxfId="3593"/>
    <tableColumn id="5" name="Amount" dataDxfId="3592" dataCellStyle="40% - Accent6"/>
  </tableColumns>
  <tableStyleInfo name="TableStyleLight18" showFirstColumn="0" showLastColumn="0" showRowStripes="1" showColumnStripes="0"/>
</table>
</file>

<file path=xl/tables/table353.xml><?xml version="1.0" encoding="utf-8"?>
<table xmlns="http://schemas.openxmlformats.org/spreadsheetml/2006/main" id="353" name="Rehab_44" displayName="Rehab_44" ref="A144:D159" totalsRowShown="0" headerRowDxfId="3591" dataDxfId="3589" headerRowBorderDxfId="3590" tableBorderDxfId="3588" headerRowCellStyle="40% - Accent6">
  <autoFilter ref="A144:D159"/>
  <tableColumns count="4">
    <tableColumn id="1" name="Expense" dataDxfId="3587"/>
    <tableColumn id="2" name="Description" dataDxfId="3586"/>
    <tableColumn id="4" name="Label Name" dataDxfId="3585"/>
    <tableColumn id="5" name="Amount" dataDxfId="3584" dataCellStyle="40% - Accent6"/>
  </tableColumns>
  <tableStyleInfo name="TableStyleLight18" showFirstColumn="0" showLastColumn="0" showRowStripes="1" showColumnStripes="0"/>
</table>
</file>

<file path=xl/tables/table354.xml><?xml version="1.0" encoding="utf-8"?>
<table xmlns="http://schemas.openxmlformats.org/spreadsheetml/2006/main" id="354" name="Grass_45" displayName="Grass_45" ref="A11:D26" totalsRowShown="0" headerRowDxfId="3583" dataDxfId="3581" headerRowBorderDxfId="3582" tableBorderDxfId="3580" headerRowCellStyle="40% - Accent6">
  <autoFilter ref="A11:D26"/>
  <tableColumns count="4">
    <tableColumn id="1" name="Expense" dataDxfId="3579"/>
    <tableColumn id="2" name="Description" dataDxfId="3578"/>
    <tableColumn id="4" name="Label Name" dataDxfId="3577"/>
    <tableColumn id="5" name="Amount" dataDxfId="3576" dataCellStyle="20% - Accent6"/>
  </tableColumns>
  <tableStyleInfo name="TableStyleLight18" showFirstColumn="0" showLastColumn="0" showRowStripes="1" showColumnStripes="0"/>
</table>
</file>

<file path=xl/tables/table355.xml><?xml version="1.0" encoding="utf-8"?>
<table xmlns="http://schemas.openxmlformats.org/spreadsheetml/2006/main" id="355" name="Tree_45" displayName="Tree_45" ref="A30:D45" totalsRowShown="0" headerRowDxfId="3575" dataDxfId="3573" headerRowBorderDxfId="3574" tableBorderDxfId="3572" headerRowCellStyle="40% - Accent6">
  <autoFilter ref="A30:D45"/>
  <tableColumns count="4">
    <tableColumn id="1" name="Expense" dataDxfId="3571"/>
    <tableColumn id="2" name="Description" dataDxfId="3570"/>
    <tableColumn id="4" name="Label Name" dataDxfId="3569"/>
    <tableColumn id="5" name="Amount" dataDxfId="3568" dataCellStyle="40% - Accent6"/>
  </tableColumns>
  <tableStyleInfo name="TableStyleLight18" showFirstColumn="0" showLastColumn="0" showRowStripes="1" showColumnStripes="0"/>
</table>
</file>

<file path=xl/tables/table356.xml><?xml version="1.0" encoding="utf-8"?>
<table xmlns="http://schemas.openxmlformats.org/spreadsheetml/2006/main" id="356" name="Pest_45" displayName="Pest_45" ref="A49:D64" totalsRowShown="0" headerRowDxfId="3567" dataDxfId="3565" headerRowBorderDxfId="3566" tableBorderDxfId="3564" headerRowCellStyle="40% - Accent6">
  <autoFilter ref="A49:D64"/>
  <tableColumns count="4">
    <tableColumn id="1" name="Expense" dataDxfId="3563"/>
    <tableColumn id="2" name="Description" dataDxfId="3562"/>
    <tableColumn id="4" name="Label Name" dataDxfId="3561"/>
    <tableColumn id="5" name="Amount" dataDxfId="3560" dataCellStyle="40% - Accent6"/>
  </tableColumns>
  <tableStyleInfo name="TableStyleLight18" showFirstColumn="0" showLastColumn="0" showRowStripes="1" showColumnStripes="0"/>
</table>
</file>

<file path=xl/tables/table357.xml><?xml version="1.0" encoding="utf-8"?>
<table xmlns="http://schemas.openxmlformats.org/spreadsheetml/2006/main" id="357" name="Garbage_45" displayName="Garbage_45" ref="A68:D83" totalsRowShown="0" headerRowDxfId="3559" dataDxfId="3557" headerRowBorderDxfId="3558" tableBorderDxfId="3556" headerRowCellStyle="40% - Accent6">
  <autoFilter ref="A68:D83"/>
  <tableColumns count="4">
    <tableColumn id="1" name="Expense" dataDxfId="3555"/>
    <tableColumn id="2" name="Description" dataDxfId="3554"/>
    <tableColumn id="4" name="Label Name" dataDxfId="3553"/>
    <tableColumn id="5" name="Amount" dataDxfId="3552" dataCellStyle="20% - Accent6"/>
  </tableColumns>
  <tableStyleInfo name="TableStyleLight18" showFirstColumn="0" showLastColumn="0" showRowStripes="1" showColumnStripes="0"/>
</table>
</file>

<file path=xl/tables/table358.xml><?xml version="1.0" encoding="utf-8"?>
<table xmlns="http://schemas.openxmlformats.org/spreadsheetml/2006/main" id="358" name="Boarding_45" displayName="Boarding_45" ref="A87:D102" totalsRowShown="0" headerRowDxfId="3551" dataDxfId="3549" headerRowBorderDxfId="3550" tableBorderDxfId="3548" headerRowCellStyle="40% - Accent6">
  <autoFilter ref="A87:D102"/>
  <tableColumns count="4">
    <tableColumn id="1" name="Expense" dataDxfId="3547"/>
    <tableColumn id="2" name="Description" dataDxfId="3546"/>
    <tableColumn id="4" name="Label Name" dataDxfId="3545"/>
    <tableColumn id="5" name="Amount" dataDxfId="3544" dataCellStyle="40% - Accent6"/>
  </tableColumns>
  <tableStyleInfo name="TableStyleLight18" showFirstColumn="0" showLastColumn="0" showRowStripes="1" showColumnStripes="0"/>
</table>
</file>

<file path=xl/tables/table359.xml><?xml version="1.0" encoding="utf-8"?>
<table xmlns="http://schemas.openxmlformats.org/spreadsheetml/2006/main" id="359" name="Fence_45" displayName="Fence_45" ref="A106:D121" totalsRowShown="0" headerRowDxfId="3543" dataDxfId="3541" headerRowBorderDxfId="3542" tableBorderDxfId="3540" headerRowCellStyle="40% - Accent6">
  <autoFilter ref="A106:D121"/>
  <tableColumns count="4">
    <tableColumn id="1" name="Expense" dataDxfId="3539"/>
    <tableColumn id="2" name="Description" dataDxfId="3538"/>
    <tableColumn id="4" name="Label Name" dataDxfId="3537"/>
    <tableColumn id="5" name="Amount" dataDxfId="3536" dataCellStyle="40% - Accent6"/>
  </tableColumns>
  <tableStyleInfo name="TableStyleLight18" showFirstColumn="0" showLastColumn="0" showRowStripes="1" showColumnStripes="0"/>
</table>
</file>

<file path=xl/tables/table36.xml><?xml version="1.0" encoding="utf-8"?>
<table xmlns="http://schemas.openxmlformats.org/spreadsheetml/2006/main" id="101" name="Pest_5" displayName="Pest_5" ref="A49:D64" totalsRowShown="0" headerRowDxfId="6127" dataDxfId="6125" headerRowBorderDxfId="6126" tableBorderDxfId="6124" headerRowCellStyle="40% - Accent6">
  <autoFilter ref="A49:D64"/>
  <tableColumns count="4">
    <tableColumn id="1" name="Expense" dataDxfId="6123"/>
    <tableColumn id="2" name="Description" dataDxfId="6122"/>
    <tableColumn id="4" name="Label Name" dataDxfId="6121"/>
    <tableColumn id="5" name="Amount" dataDxfId="6120" dataCellStyle="40% - Accent6"/>
  </tableColumns>
  <tableStyleInfo name="TableStyleLight18" showFirstColumn="0" showLastColumn="0" showRowStripes="1" showColumnStripes="0"/>
</table>
</file>

<file path=xl/tables/table360.xml><?xml version="1.0" encoding="utf-8"?>
<table xmlns="http://schemas.openxmlformats.org/spreadsheetml/2006/main" id="360" name="Demolition_45" displayName="Demolition_45" ref="A125:D140" totalsRowShown="0" headerRowDxfId="3535" dataDxfId="3533" headerRowBorderDxfId="3534" tableBorderDxfId="3532" headerRowCellStyle="40% - Accent6">
  <autoFilter ref="A125:D140"/>
  <tableColumns count="4">
    <tableColumn id="1" name="Expense" dataDxfId="3531"/>
    <tableColumn id="2" name="Description" dataDxfId="3530"/>
    <tableColumn id="4" name="Label Name" dataDxfId="3529"/>
    <tableColumn id="5" name="Amount" dataDxfId="3528" dataCellStyle="40% - Accent6"/>
  </tableColumns>
  <tableStyleInfo name="TableStyleLight18" showFirstColumn="0" showLastColumn="0" showRowStripes="1" showColumnStripes="0"/>
</table>
</file>

<file path=xl/tables/table361.xml><?xml version="1.0" encoding="utf-8"?>
<table xmlns="http://schemas.openxmlformats.org/spreadsheetml/2006/main" id="361" name="Rehab_45" displayName="Rehab_45" ref="A144:D159" totalsRowShown="0" headerRowDxfId="3527" dataDxfId="3525" headerRowBorderDxfId="3526" tableBorderDxfId="3524" headerRowCellStyle="40% - Accent6">
  <autoFilter ref="A144:D159"/>
  <tableColumns count="4">
    <tableColumn id="1" name="Expense" dataDxfId="3523"/>
    <tableColumn id="2" name="Description" dataDxfId="3522"/>
    <tableColumn id="4" name="Label Name" dataDxfId="3521"/>
    <tableColumn id="5" name="Amount" dataDxfId="3520" dataCellStyle="40% - Accent6"/>
  </tableColumns>
  <tableStyleInfo name="TableStyleLight18" showFirstColumn="0" showLastColumn="0" showRowStripes="1" showColumnStripes="0"/>
</table>
</file>

<file path=xl/tables/table362.xml><?xml version="1.0" encoding="utf-8"?>
<table xmlns="http://schemas.openxmlformats.org/spreadsheetml/2006/main" id="362" name="Grass_46" displayName="Grass_46" ref="A11:D26" totalsRowShown="0" headerRowDxfId="3519" dataDxfId="3517" headerRowBorderDxfId="3518" tableBorderDxfId="3516" headerRowCellStyle="40% - Accent6">
  <autoFilter ref="A11:D26"/>
  <tableColumns count="4">
    <tableColumn id="1" name="Expense" dataDxfId="3515"/>
    <tableColumn id="2" name="Description" dataDxfId="3514"/>
    <tableColumn id="4" name="Label Name" dataDxfId="3513"/>
    <tableColumn id="5" name="Amount" dataDxfId="3512" dataCellStyle="20% - Accent6"/>
  </tableColumns>
  <tableStyleInfo name="TableStyleLight18" showFirstColumn="0" showLastColumn="0" showRowStripes="1" showColumnStripes="0"/>
</table>
</file>

<file path=xl/tables/table363.xml><?xml version="1.0" encoding="utf-8"?>
<table xmlns="http://schemas.openxmlformats.org/spreadsheetml/2006/main" id="363" name="Tree_46" displayName="Tree_46" ref="A30:D45" totalsRowShown="0" headerRowDxfId="3511" dataDxfId="3509" headerRowBorderDxfId="3510" tableBorderDxfId="3508" headerRowCellStyle="40% - Accent6">
  <autoFilter ref="A30:D45"/>
  <tableColumns count="4">
    <tableColumn id="1" name="Expense" dataDxfId="3507"/>
    <tableColumn id="2" name="Description" dataDxfId="3506"/>
    <tableColumn id="4" name="Label Name" dataDxfId="3505"/>
    <tableColumn id="5" name="Amount" dataDxfId="3504" dataCellStyle="40% - Accent6"/>
  </tableColumns>
  <tableStyleInfo name="TableStyleLight18" showFirstColumn="0" showLastColumn="0" showRowStripes="1" showColumnStripes="0"/>
</table>
</file>

<file path=xl/tables/table364.xml><?xml version="1.0" encoding="utf-8"?>
<table xmlns="http://schemas.openxmlformats.org/spreadsheetml/2006/main" id="364" name="Pest_46" displayName="Pest_46" ref="A49:D64" totalsRowShown="0" headerRowDxfId="3503" dataDxfId="3501" headerRowBorderDxfId="3502" tableBorderDxfId="3500" headerRowCellStyle="40% - Accent6">
  <autoFilter ref="A49:D64"/>
  <tableColumns count="4">
    <tableColumn id="1" name="Expense" dataDxfId="3499"/>
    <tableColumn id="2" name="Description" dataDxfId="3498"/>
    <tableColumn id="4" name="Label Name" dataDxfId="3497"/>
    <tableColumn id="5" name="Amount" dataDxfId="3496" dataCellStyle="40% - Accent6"/>
  </tableColumns>
  <tableStyleInfo name="TableStyleLight18" showFirstColumn="0" showLastColumn="0" showRowStripes="1" showColumnStripes="0"/>
</table>
</file>

<file path=xl/tables/table365.xml><?xml version="1.0" encoding="utf-8"?>
<table xmlns="http://schemas.openxmlformats.org/spreadsheetml/2006/main" id="365" name="Garbage_46" displayName="Garbage_46" ref="A68:D83" totalsRowShown="0" headerRowDxfId="3495" dataDxfId="3493" headerRowBorderDxfId="3494" tableBorderDxfId="3492" headerRowCellStyle="40% - Accent6">
  <autoFilter ref="A68:D83"/>
  <tableColumns count="4">
    <tableColumn id="1" name="Expense" dataDxfId="3491"/>
    <tableColumn id="2" name="Description" dataDxfId="3490"/>
    <tableColumn id="4" name="Label Name" dataDxfId="3489"/>
    <tableColumn id="5" name="Amount" dataDxfId="3488" dataCellStyle="20% - Accent6"/>
  </tableColumns>
  <tableStyleInfo name="TableStyleLight18" showFirstColumn="0" showLastColumn="0" showRowStripes="1" showColumnStripes="0"/>
</table>
</file>

<file path=xl/tables/table366.xml><?xml version="1.0" encoding="utf-8"?>
<table xmlns="http://schemas.openxmlformats.org/spreadsheetml/2006/main" id="366" name="Boarding_46" displayName="Boarding_46" ref="A87:D102" totalsRowShown="0" headerRowDxfId="3487" dataDxfId="3485" headerRowBorderDxfId="3486" tableBorderDxfId="3484" headerRowCellStyle="40% - Accent6">
  <autoFilter ref="A87:D102"/>
  <tableColumns count="4">
    <tableColumn id="1" name="Expense" dataDxfId="3483"/>
    <tableColumn id="2" name="Description" dataDxfId="3482"/>
    <tableColumn id="4" name="Label Name" dataDxfId="3481"/>
    <tableColumn id="5" name="Amount" dataDxfId="3480" dataCellStyle="40% - Accent6"/>
  </tableColumns>
  <tableStyleInfo name="TableStyleLight18" showFirstColumn="0" showLastColumn="0" showRowStripes="1" showColumnStripes="0"/>
</table>
</file>

<file path=xl/tables/table367.xml><?xml version="1.0" encoding="utf-8"?>
<table xmlns="http://schemas.openxmlformats.org/spreadsheetml/2006/main" id="367" name="Fence_46" displayName="Fence_46" ref="A106:D121" totalsRowShown="0" headerRowDxfId="3479" dataDxfId="3477" headerRowBorderDxfId="3478" tableBorderDxfId="3476" headerRowCellStyle="40% - Accent6">
  <autoFilter ref="A106:D121"/>
  <tableColumns count="4">
    <tableColumn id="1" name="Expense" dataDxfId="3475"/>
    <tableColumn id="2" name="Description" dataDxfId="3474"/>
    <tableColumn id="4" name="Label Name" dataDxfId="3473"/>
    <tableColumn id="5" name="Amount" dataDxfId="3472" dataCellStyle="40% - Accent6"/>
  </tableColumns>
  <tableStyleInfo name="TableStyleLight18" showFirstColumn="0" showLastColumn="0" showRowStripes="1" showColumnStripes="0"/>
</table>
</file>

<file path=xl/tables/table368.xml><?xml version="1.0" encoding="utf-8"?>
<table xmlns="http://schemas.openxmlformats.org/spreadsheetml/2006/main" id="368" name="Demolition_46" displayName="Demolition_46" ref="A125:D140" totalsRowShown="0" headerRowDxfId="3471" dataDxfId="3469" headerRowBorderDxfId="3470" tableBorderDxfId="3468" headerRowCellStyle="40% - Accent6">
  <autoFilter ref="A125:D140"/>
  <tableColumns count="4">
    <tableColumn id="1" name="Expense" dataDxfId="3467"/>
    <tableColumn id="2" name="Description" dataDxfId="3466"/>
    <tableColumn id="4" name="Label Name" dataDxfId="3465"/>
    <tableColumn id="5" name="Amount" dataDxfId="3464" dataCellStyle="40% - Accent6"/>
  </tableColumns>
  <tableStyleInfo name="TableStyleLight18" showFirstColumn="0" showLastColumn="0" showRowStripes="1" showColumnStripes="0"/>
</table>
</file>

<file path=xl/tables/table369.xml><?xml version="1.0" encoding="utf-8"?>
<table xmlns="http://schemas.openxmlformats.org/spreadsheetml/2006/main" id="369" name="Rehab_46" displayName="Rehab_46" ref="A144:D159" totalsRowShown="0" headerRowDxfId="3463" dataDxfId="3461" headerRowBorderDxfId="3462" tableBorderDxfId="3460" headerRowCellStyle="40% - Accent6">
  <autoFilter ref="A144:D159"/>
  <tableColumns count="4">
    <tableColumn id="1" name="Expense" dataDxfId="3459"/>
    <tableColumn id="2" name="Description" dataDxfId="3458"/>
    <tableColumn id="4" name="Label Name" dataDxfId="3457"/>
    <tableColumn id="5" name="Amount" dataDxfId="3456" dataCellStyle="40% - Accent6"/>
  </tableColumns>
  <tableStyleInfo name="TableStyleLight18" showFirstColumn="0" showLastColumn="0" showRowStripes="1" showColumnStripes="0"/>
</table>
</file>

<file path=xl/tables/table37.xml><?xml version="1.0" encoding="utf-8"?>
<table xmlns="http://schemas.openxmlformats.org/spreadsheetml/2006/main" id="102" name="Garbage_5" displayName="Garbage_5" ref="A68:D83" totalsRowShown="0" headerRowDxfId="6119" dataDxfId="6117" headerRowBorderDxfId="6118" tableBorderDxfId="6116" headerRowCellStyle="40% - Accent6">
  <autoFilter ref="A68:D83"/>
  <tableColumns count="4">
    <tableColumn id="1" name="Expense" dataDxfId="6115"/>
    <tableColumn id="2" name="Description" dataDxfId="6114"/>
    <tableColumn id="4" name="Label Name" dataDxfId="6113"/>
    <tableColumn id="5" name="Amount" dataDxfId="6112" dataCellStyle="20% - Accent6"/>
  </tableColumns>
  <tableStyleInfo name="TableStyleLight18" showFirstColumn="0" showLastColumn="0" showRowStripes="1" showColumnStripes="0"/>
</table>
</file>

<file path=xl/tables/table370.xml><?xml version="1.0" encoding="utf-8"?>
<table xmlns="http://schemas.openxmlformats.org/spreadsheetml/2006/main" id="370" name="Grass_47" displayName="Grass_47" ref="A11:D26" totalsRowShown="0" headerRowDxfId="3455" dataDxfId="3453" headerRowBorderDxfId="3454" tableBorderDxfId="3452" headerRowCellStyle="40% - Accent6">
  <autoFilter ref="A11:D26"/>
  <tableColumns count="4">
    <tableColumn id="1" name="Expense" dataDxfId="3451"/>
    <tableColumn id="2" name="Description" dataDxfId="3450"/>
    <tableColumn id="4" name="Label Name" dataDxfId="3449"/>
    <tableColumn id="5" name="Amount" dataDxfId="3448" dataCellStyle="20% - Accent6"/>
  </tableColumns>
  <tableStyleInfo name="TableStyleLight18" showFirstColumn="0" showLastColumn="0" showRowStripes="1" showColumnStripes="0"/>
</table>
</file>

<file path=xl/tables/table371.xml><?xml version="1.0" encoding="utf-8"?>
<table xmlns="http://schemas.openxmlformats.org/spreadsheetml/2006/main" id="371" name="Tree_47" displayName="Tree_47" ref="A30:D45" totalsRowShown="0" headerRowDxfId="3447" dataDxfId="3445" headerRowBorderDxfId="3446" tableBorderDxfId="3444" headerRowCellStyle="40% - Accent6">
  <autoFilter ref="A30:D45"/>
  <tableColumns count="4">
    <tableColumn id="1" name="Expense" dataDxfId="3443"/>
    <tableColumn id="2" name="Description" dataDxfId="3442"/>
    <tableColumn id="4" name="Label Name" dataDxfId="3441"/>
    <tableColumn id="5" name="Amount" dataDxfId="3440" dataCellStyle="40% - Accent6"/>
  </tableColumns>
  <tableStyleInfo name="TableStyleLight18" showFirstColumn="0" showLastColumn="0" showRowStripes="1" showColumnStripes="0"/>
</table>
</file>

<file path=xl/tables/table372.xml><?xml version="1.0" encoding="utf-8"?>
<table xmlns="http://schemas.openxmlformats.org/spreadsheetml/2006/main" id="372" name="Pest_47" displayName="Pest_47" ref="A49:D64" totalsRowShown="0" headerRowDxfId="3439" dataDxfId="3437" headerRowBorderDxfId="3438" tableBorderDxfId="3436" headerRowCellStyle="40% - Accent6">
  <autoFilter ref="A49:D64"/>
  <tableColumns count="4">
    <tableColumn id="1" name="Expense" dataDxfId="3435"/>
    <tableColumn id="2" name="Description" dataDxfId="3434"/>
    <tableColumn id="4" name="Label Name" dataDxfId="3433"/>
    <tableColumn id="5" name="Amount" dataDxfId="3432" dataCellStyle="40% - Accent6"/>
  </tableColumns>
  <tableStyleInfo name="TableStyleLight18" showFirstColumn="0" showLastColumn="0" showRowStripes="1" showColumnStripes="0"/>
</table>
</file>

<file path=xl/tables/table373.xml><?xml version="1.0" encoding="utf-8"?>
<table xmlns="http://schemas.openxmlformats.org/spreadsheetml/2006/main" id="373" name="Garbage_47" displayName="Garbage_47" ref="A68:D83" totalsRowShown="0" headerRowDxfId="3431" dataDxfId="3429" headerRowBorderDxfId="3430" tableBorderDxfId="3428" headerRowCellStyle="40% - Accent6">
  <autoFilter ref="A68:D83"/>
  <tableColumns count="4">
    <tableColumn id="1" name="Expense" dataDxfId="3427"/>
    <tableColumn id="2" name="Description" dataDxfId="3426"/>
    <tableColumn id="4" name="Label Name" dataDxfId="3425"/>
    <tableColumn id="5" name="Amount" dataDxfId="3424" dataCellStyle="20% - Accent6"/>
  </tableColumns>
  <tableStyleInfo name="TableStyleLight18" showFirstColumn="0" showLastColumn="0" showRowStripes="1" showColumnStripes="0"/>
</table>
</file>

<file path=xl/tables/table374.xml><?xml version="1.0" encoding="utf-8"?>
<table xmlns="http://schemas.openxmlformats.org/spreadsheetml/2006/main" id="374" name="Boarding_47" displayName="Boarding_47" ref="A87:D102" totalsRowShown="0" headerRowDxfId="3423" dataDxfId="3421" headerRowBorderDxfId="3422" tableBorderDxfId="3420" headerRowCellStyle="40% - Accent6">
  <autoFilter ref="A87:D102"/>
  <tableColumns count="4">
    <tableColumn id="1" name="Expense" dataDxfId="3419"/>
    <tableColumn id="2" name="Description" dataDxfId="3418"/>
    <tableColumn id="4" name="Label Name" dataDxfId="3417"/>
    <tableColumn id="5" name="Amount" dataDxfId="3416" dataCellStyle="40% - Accent6"/>
  </tableColumns>
  <tableStyleInfo name="TableStyleLight18" showFirstColumn="0" showLastColumn="0" showRowStripes="1" showColumnStripes="0"/>
</table>
</file>

<file path=xl/tables/table375.xml><?xml version="1.0" encoding="utf-8"?>
<table xmlns="http://schemas.openxmlformats.org/spreadsheetml/2006/main" id="375" name="Fence_47" displayName="Fence_47" ref="A106:D121" totalsRowShown="0" headerRowDxfId="3415" dataDxfId="3413" headerRowBorderDxfId="3414" tableBorderDxfId="3412" headerRowCellStyle="40% - Accent6">
  <autoFilter ref="A106:D121"/>
  <tableColumns count="4">
    <tableColumn id="1" name="Expense" dataDxfId="3411"/>
    <tableColumn id="2" name="Description" dataDxfId="3410"/>
    <tableColumn id="4" name="Label Name" dataDxfId="3409"/>
    <tableColumn id="5" name="Amount" dataDxfId="3408" dataCellStyle="40% - Accent6"/>
  </tableColumns>
  <tableStyleInfo name="TableStyleLight18" showFirstColumn="0" showLastColumn="0" showRowStripes="1" showColumnStripes="0"/>
</table>
</file>

<file path=xl/tables/table376.xml><?xml version="1.0" encoding="utf-8"?>
<table xmlns="http://schemas.openxmlformats.org/spreadsheetml/2006/main" id="376" name="Demolition_47" displayName="Demolition_47" ref="A125:D140" totalsRowShown="0" headerRowDxfId="3407" dataDxfId="3405" headerRowBorderDxfId="3406" tableBorderDxfId="3404" headerRowCellStyle="40% - Accent6">
  <autoFilter ref="A125:D140"/>
  <tableColumns count="4">
    <tableColumn id="1" name="Expense" dataDxfId="3403"/>
    <tableColumn id="2" name="Description" dataDxfId="3402"/>
    <tableColumn id="4" name="Label Name" dataDxfId="3401"/>
    <tableColumn id="5" name="Amount" dataDxfId="3400" dataCellStyle="40% - Accent6"/>
  </tableColumns>
  <tableStyleInfo name="TableStyleLight18" showFirstColumn="0" showLastColumn="0" showRowStripes="1" showColumnStripes="0"/>
</table>
</file>

<file path=xl/tables/table377.xml><?xml version="1.0" encoding="utf-8"?>
<table xmlns="http://schemas.openxmlformats.org/spreadsheetml/2006/main" id="377" name="Rehab_47" displayName="Rehab_47" ref="A144:D159" totalsRowShown="0" headerRowDxfId="3399" dataDxfId="3397" headerRowBorderDxfId="3398" tableBorderDxfId="3396" headerRowCellStyle="40% - Accent6">
  <autoFilter ref="A144:D159"/>
  <tableColumns count="4">
    <tableColumn id="1" name="Expense" dataDxfId="3395"/>
    <tableColumn id="2" name="Description" dataDxfId="3394"/>
    <tableColumn id="4" name="Label Name" dataDxfId="3393"/>
    <tableColumn id="5" name="Amount" dataDxfId="3392" dataCellStyle="40% - Accent6"/>
  </tableColumns>
  <tableStyleInfo name="TableStyleLight18" showFirstColumn="0" showLastColumn="0" showRowStripes="1" showColumnStripes="0"/>
</table>
</file>

<file path=xl/tables/table378.xml><?xml version="1.0" encoding="utf-8"?>
<table xmlns="http://schemas.openxmlformats.org/spreadsheetml/2006/main" id="378" name="Grass_48" displayName="Grass_48" ref="A11:D26" totalsRowShown="0" headerRowDxfId="3391" dataDxfId="3389" headerRowBorderDxfId="3390" tableBorderDxfId="3388" headerRowCellStyle="40% - Accent6">
  <autoFilter ref="A11:D26"/>
  <tableColumns count="4">
    <tableColumn id="1" name="Expense" dataDxfId="3387"/>
    <tableColumn id="2" name="Description" dataDxfId="3386"/>
    <tableColumn id="4" name="Label Name" dataDxfId="3385"/>
    <tableColumn id="5" name="Amount" dataDxfId="3384" dataCellStyle="20% - Accent6"/>
  </tableColumns>
  <tableStyleInfo name="TableStyleLight18" showFirstColumn="0" showLastColumn="0" showRowStripes="1" showColumnStripes="0"/>
</table>
</file>

<file path=xl/tables/table379.xml><?xml version="1.0" encoding="utf-8"?>
<table xmlns="http://schemas.openxmlformats.org/spreadsheetml/2006/main" id="379" name="Tree_48" displayName="Tree_48" ref="A30:D45" totalsRowShown="0" headerRowDxfId="3383" dataDxfId="3381" headerRowBorderDxfId="3382" tableBorderDxfId="3380" headerRowCellStyle="40% - Accent6">
  <autoFilter ref="A30:D45"/>
  <tableColumns count="4">
    <tableColumn id="1" name="Expense" dataDxfId="3379"/>
    <tableColumn id="2" name="Description" dataDxfId="3378"/>
    <tableColumn id="4" name="Label Name" dataDxfId="3377"/>
    <tableColumn id="5" name="Amount" dataDxfId="3376" dataCellStyle="40% - Accent6"/>
  </tableColumns>
  <tableStyleInfo name="TableStyleLight18" showFirstColumn="0" showLastColumn="0" showRowStripes="1" showColumnStripes="0"/>
</table>
</file>

<file path=xl/tables/table38.xml><?xml version="1.0" encoding="utf-8"?>
<table xmlns="http://schemas.openxmlformats.org/spreadsheetml/2006/main" id="103" name="Boarding_5" displayName="Boarding_5" ref="A87:D102" totalsRowShown="0" headerRowDxfId="6111" dataDxfId="6109" headerRowBorderDxfId="6110" tableBorderDxfId="6108" headerRowCellStyle="40% - Accent6">
  <autoFilter ref="A87:D102"/>
  <tableColumns count="4">
    <tableColumn id="1" name="Expense" dataDxfId="6107"/>
    <tableColumn id="2" name="Description" dataDxfId="6106"/>
    <tableColumn id="4" name="Label Name" dataDxfId="6105"/>
    <tableColumn id="5" name="Amount" dataDxfId="6104" dataCellStyle="40% - Accent6"/>
  </tableColumns>
  <tableStyleInfo name="TableStyleLight18" showFirstColumn="0" showLastColumn="0" showRowStripes="1" showColumnStripes="0"/>
</table>
</file>

<file path=xl/tables/table380.xml><?xml version="1.0" encoding="utf-8"?>
<table xmlns="http://schemas.openxmlformats.org/spreadsheetml/2006/main" id="380" name="Pest_48" displayName="Pest_48" ref="A49:D64" totalsRowShown="0" headerRowDxfId="3375" dataDxfId="3373" headerRowBorderDxfId="3374" tableBorderDxfId="3372" headerRowCellStyle="40% - Accent6">
  <autoFilter ref="A49:D64"/>
  <tableColumns count="4">
    <tableColumn id="1" name="Expense" dataDxfId="3371"/>
    <tableColumn id="2" name="Description" dataDxfId="3370"/>
    <tableColumn id="4" name="Label Name" dataDxfId="3369"/>
    <tableColumn id="5" name="Amount" dataDxfId="3368" dataCellStyle="40% - Accent6"/>
  </tableColumns>
  <tableStyleInfo name="TableStyleLight18" showFirstColumn="0" showLastColumn="0" showRowStripes="1" showColumnStripes="0"/>
</table>
</file>

<file path=xl/tables/table381.xml><?xml version="1.0" encoding="utf-8"?>
<table xmlns="http://schemas.openxmlformats.org/spreadsheetml/2006/main" id="381" name="Garbage_48" displayName="Garbage_48" ref="A68:D83" totalsRowShown="0" headerRowDxfId="3367" dataDxfId="3365" headerRowBorderDxfId="3366" tableBorderDxfId="3364" headerRowCellStyle="40% - Accent6">
  <autoFilter ref="A68:D83"/>
  <tableColumns count="4">
    <tableColumn id="1" name="Expense" dataDxfId="3363"/>
    <tableColumn id="2" name="Description" dataDxfId="3362"/>
    <tableColumn id="4" name="Label Name" dataDxfId="3361"/>
    <tableColumn id="5" name="Amount" dataDxfId="3360" dataCellStyle="20% - Accent6"/>
  </tableColumns>
  <tableStyleInfo name="TableStyleLight18" showFirstColumn="0" showLastColumn="0" showRowStripes="1" showColumnStripes="0"/>
</table>
</file>

<file path=xl/tables/table382.xml><?xml version="1.0" encoding="utf-8"?>
<table xmlns="http://schemas.openxmlformats.org/spreadsheetml/2006/main" id="382" name="Boarding_48" displayName="Boarding_48" ref="A87:D102" totalsRowShown="0" headerRowDxfId="3359" dataDxfId="3357" headerRowBorderDxfId="3358" tableBorderDxfId="3356" headerRowCellStyle="40% - Accent6">
  <autoFilter ref="A87:D102"/>
  <tableColumns count="4">
    <tableColumn id="1" name="Expense" dataDxfId="3355"/>
    <tableColumn id="2" name="Description" dataDxfId="3354"/>
    <tableColumn id="4" name="Label Name" dataDxfId="3353"/>
    <tableColumn id="5" name="Amount" dataDxfId="3352" dataCellStyle="40% - Accent6"/>
  </tableColumns>
  <tableStyleInfo name="TableStyleLight18" showFirstColumn="0" showLastColumn="0" showRowStripes="1" showColumnStripes="0"/>
</table>
</file>

<file path=xl/tables/table383.xml><?xml version="1.0" encoding="utf-8"?>
<table xmlns="http://schemas.openxmlformats.org/spreadsheetml/2006/main" id="383" name="Fence_48" displayName="Fence_48" ref="A106:D121" totalsRowShown="0" headerRowDxfId="3351" dataDxfId="3349" headerRowBorderDxfId="3350" tableBorderDxfId="3348" headerRowCellStyle="40% - Accent6">
  <autoFilter ref="A106:D121"/>
  <tableColumns count="4">
    <tableColumn id="1" name="Expense" dataDxfId="3347"/>
    <tableColumn id="2" name="Description" dataDxfId="3346"/>
    <tableColumn id="4" name="Label Name" dataDxfId="3345"/>
    <tableColumn id="5" name="Amount" dataDxfId="3344" dataCellStyle="40% - Accent6"/>
  </tableColumns>
  <tableStyleInfo name="TableStyleLight18" showFirstColumn="0" showLastColumn="0" showRowStripes="1" showColumnStripes="0"/>
</table>
</file>

<file path=xl/tables/table384.xml><?xml version="1.0" encoding="utf-8"?>
<table xmlns="http://schemas.openxmlformats.org/spreadsheetml/2006/main" id="384" name="Demolition_48" displayName="Demolition_48" ref="A125:D140" totalsRowShown="0" headerRowDxfId="3343" dataDxfId="3341" headerRowBorderDxfId="3342" tableBorderDxfId="3340" headerRowCellStyle="40% - Accent6">
  <autoFilter ref="A125:D140"/>
  <tableColumns count="4">
    <tableColumn id="1" name="Expense" dataDxfId="3339"/>
    <tableColumn id="2" name="Description" dataDxfId="3338"/>
    <tableColumn id="4" name="Label Name" dataDxfId="3337"/>
    <tableColumn id="5" name="Amount" dataDxfId="3336" dataCellStyle="40% - Accent6"/>
  </tableColumns>
  <tableStyleInfo name="TableStyleLight18" showFirstColumn="0" showLastColumn="0" showRowStripes="1" showColumnStripes="0"/>
</table>
</file>

<file path=xl/tables/table385.xml><?xml version="1.0" encoding="utf-8"?>
<table xmlns="http://schemas.openxmlformats.org/spreadsheetml/2006/main" id="385" name="Rehab_48" displayName="Rehab_48" ref="A144:D159" totalsRowShown="0" headerRowDxfId="3335" dataDxfId="3333" headerRowBorderDxfId="3334" tableBorderDxfId="3332" headerRowCellStyle="40% - Accent6">
  <autoFilter ref="A144:D159"/>
  <tableColumns count="4">
    <tableColumn id="1" name="Expense" dataDxfId="3331"/>
    <tableColumn id="2" name="Description" dataDxfId="3330"/>
    <tableColumn id="4" name="Label Name" dataDxfId="3329"/>
    <tableColumn id="5" name="Amount" dataDxfId="3328" dataCellStyle="40% - Accent6"/>
  </tableColumns>
  <tableStyleInfo name="TableStyleLight18" showFirstColumn="0" showLastColumn="0" showRowStripes="1" showColumnStripes="0"/>
</table>
</file>

<file path=xl/tables/table386.xml><?xml version="1.0" encoding="utf-8"?>
<table xmlns="http://schemas.openxmlformats.org/spreadsheetml/2006/main" id="386" name="Grass_49" displayName="Grass_49" ref="A11:D26" totalsRowShown="0" headerRowDxfId="3327" dataDxfId="3325" headerRowBorderDxfId="3326" tableBorderDxfId="3324" headerRowCellStyle="40% - Accent6">
  <autoFilter ref="A11:D26"/>
  <tableColumns count="4">
    <tableColumn id="1" name="Expense" dataDxfId="3323"/>
    <tableColumn id="2" name="Description" dataDxfId="3322"/>
    <tableColumn id="4" name="Label Name" dataDxfId="3321"/>
    <tableColumn id="5" name="Amount" dataDxfId="3320" dataCellStyle="20% - Accent6"/>
  </tableColumns>
  <tableStyleInfo name="TableStyleLight18" showFirstColumn="0" showLastColumn="0" showRowStripes="1" showColumnStripes="0"/>
</table>
</file>

<file path=xl/tables/table387.xml><?xml version="1.0" encoding="utf-8"?>
<table xmlns="http://schemas.openxmlformats.org/spreadsheetml/2006/main" id="387" name="Tree_49" displayName="Tree_49" ref="A30:D45" totalsRowShown="0" headerRowDxfId="3319" dataDxfId="3317" headerRowBorderDxfId="3318" tableBorderDxfId="3316" headerRowCellStyle="40% - Accent6">
  <autoFilter ref="A30:D45"/>
  <tableColumns count="4">
    <tableColumn id="1" name="Expense" dataDxfId="3315"/>
    <tableColumn id="2" name="Description" dataDxfId="3314"/>
    <tableColumn id="4" name="Label Name" dataDxfId="3313"/>
    <tableColumn id="5" name="Amount" dataDxfId="3312" dataCellStyle="40% - Accent6"/>
  </tableColumns>
  <tableStyleInfo name="TableStyleLight18" showFirstColumn="0" showLastColumn="0" showRowStripes="1" showColumnStripes="0"/>
</table>
</file>

<file path=xl/tables/table388.xml><?xml version="1.0" encoding="utf-8"?>
<table xmlns="http://schemas.openxmlformats.org/spreadsheetml/2006/main" id="388" name="Pest_49" displayName="Pest_49" ref="A49:D64" totalsRowShown="0" headerRowDxfId="3311" dataDxfId="3309" headerRowBorderDxfId="3310" tableBorderDxfId="3308" headerRowCellStyle="40% - Accent6">
  <autoFilter ref="A49:D64"/>
  <tableColumns count="4">
    <tableColumn id="1" name="Expense" dataDxfId="3307"/>
    <tableColumn id="2" name="Description" dataDxfId="3306"/>
    <tableColumn id="4" name="Label Name" dataDxfId="3305"/>
    <tableColumn id="5" name="Amount" dataDxfId="3304" dataCellStyle="40% - Accent6"/>
  </tableColumns>
  <tableStyleInfo name="TableStyleLight18" showFirstColumn="0" showLastColumn="0" showRowStripes="1" showColumnStripes="0"/>
</table>
</file>

<file path=xl/tables/table389.xml><?xml version="1.0" encoding="utf-8"?>
<table xmlns="http://schemas.openxmlformats.org/spreadsheetml/2006/main" id="389" name="Garbage_49" displayName="Garbage_49" ref="A68:D83" totalsRowShown="0" headerRowDxfId="3303" dataDxfId="3301" headerRowBorderDxfId="3302" tableBorderDxfId="3300" headerRowCellStyle="40% - Accent6">
  <autoFilter ref="A68:D83"/>
  <tableColumns count="4">
    <tableColumn id="1" name="Expense" dataDxfId="3299"/>
    <tableColumn id="2" name="Description" dataDxfId="3298"/>
    <tableColumn id="4" name="Label Name" dataDxfId="3297"/>
    <tableColumn id="5" name="Amount" dataDxfId="3296" dataCellStyle="20% - Accent6"/>
  </tableColumns>
  <tableStyleInfo name="TableStyleLight18" showFirstColumn="0" showLastColumn="0" showRowStripes="1" showColumnStripes="0"/>
</table>
</file>

<file path=xl/tables/table39.xml><?xml version="1.0" encoding="utf-8"?>
<table xmlns="http://schemas.openxmlformats.org/spreadsheetml/2006/main" id="104" name="Fence_5" displayName="Fence_5" ref="A106:D121" totalsRowShown="0" headerRowDxfId="6103" dataDxfId="6101" headerRowBorderDxfId="6102" tableBorderDxfId="6100" headerRowCellStyle="40% - Accent6">
  <autoFilter ref="A106:D121"/>
  <tableColumns count="4">
    <tableColumn id="1" name="Expense" dataDxfId="6099"/>
    <tableColumn id="2" name="Description" dataDxfId="6098"/>
    <tableColumn id="4" name="Label Name" dataDxfId="6097"/>
    <tableColumn id="5" name="Amount" dataDxfId="6096" dataCellStyle="40% - Accent6"/>
  </tableColumns>
  <tableStyleInfo name="TableStyleLight18" showFirstColumn="0" showLastColumn="0" showRowStripes="1" showColumnStripes="0"/>
</table>
</file>

<file path=xl/tables/table390.xml><?xml version="1.0" encoding="utf-8"?>
<table xmlns="http://schemas.openxmlformats.org/spreadsheetml/2006/main" id="390" name="Boarding_49" displayName="Boarding_49" ref="A87:D102" totalsRowShown="0" headerRowDxfId="3295" dataDxfId="3293" headerRowBorderDxfId="3294" tableBorderDxfId="3292" headerRowCellStyle="40% - Accent6">
  <autoFilter ref="A87:D102"/>
  <tableColumns count="4">
    <tableColumn id="1" name="Expense" dataDxfId="3291"/>
    <tableColumn id="2" name="Description" dataDxfId="3290"/>
    <tableColumn id="4" name="Label Name" dataDxfId="3289"/>
    <tableColumn id="5" name="Amount" dataDxfId="3288" dataCellStyle="40% - Accent6"/>
  </tableColumns>
  <tableStyleInfo name="TableStyleLight18" showFirstColumn="0" showLastColumn="0" showRowStripes="1" showColumnStripes="0"/>
</table>
</file>

<file path=xl/tables/table391.xml><?xml version="1.0" encoding="utf-8"?>
<table xmlns="http://schemas.openxmlformats.org/spreadsheetml/2006/main" id="391" name="Fence_49" displayName="Fence_49" ref="A106:D121" totalsRowShown="0" headerRowDxfId="3287" dataDxfId="3285" headerRowBorderDxfId="3286" tableBorderDxfId="3284" headerRowCellStyle="40% - Accent6">
  <autoFilter ref="A106:D121"/>
  <tableColumns count="4">
    <tableColumn id="1" name="Expense" dataDxfId="3283"/>
    <tableColumn id="2" name="Description" dataDxfId="3282"/>
    <tableColumn id="4" name="Label Name" dataDxfId="3281"/>
    <tableColumn id="5" name="Amount" dataDxfId="3280" dataCellStyle="40% - Accent6"/>
  </tableColumns>
  <tableStyleInfo name="TableStyleLight18" showFirstColumn="0" showLastColumn="0" showRowStripes="1" showColumnStripes="0"/>
</table>
</file>

<file path=xl/tables/table392.xml><?xml version="1.0" encoding="utf-8"?>
<table xmlns="http://schemas.openxmlformats.org/spreadsheetml/2006/main" id="392" name="Demolition_49" displayName="Demolition_49" ref="A125:D140" totalsRowShown="0" headerRowDxfId="3279" dataDxfId="3277" headerRowBorderDxfId="3278" tableBorderDxfId="3276" headerRowCellStyle="40% - Accent6">
  <autoFilter ref="A125:D140"/>
  <tableColumns count="4">
    <tableColumn id="1" name="Expense" dataDxfId="3275"/>
    <tableColumn id="2" name="Description" dataDxfId="3274"/>
    <tableColumn id="4" name="Label Name" dataDxfId="3273"/>
    <tableColumn id="5" name="Amount" dataDxfId="3272" dataCellStyle="40% - Accent6"/>
  </tableColumns>
  <tableStyleInfo name="TableStyleLight18" showFirstColumn="0" showLastColumn="0" showRowStripes="1" showColumnStripes="0"/>
</table>
</file>

<file path=xl/tables/table393.xml><?xml version="1.0" encoding="utf-8"?>
<table xmlns="http://schemas.openxmlformats.org/spreadsheetml/2006/main" id="393" name="Rehab_49" displayName="Rehab_49" ref="A144:D159" totalsRowShown="0" headerRowDxfId="3271" dataDxfId="3269" headerRowBorderDxfId="3270" tableBorderDxfId="3268" headerRowCellStyle="40% - Accent6">
  <autoFilter ref="A144:D159"/>
  <tableColumns count="4">
    <tableColumn id="1" name="Expense" dataDxfId="3267"/>
    <tableColumn id="2" name="Description" dataDxfId="3266"/>
    <tableColumn id="4" name="Label Name" dataDxfId="3265"/>
    <tableColumn id="5" name="Amount" dataDxfId="3264" dataCellStyle="40% - Accent6"/>
  </tableColumns>
  <tableStyleInfo name="TableStyleLight18" showFirstColumn="0" showLastColumn="0" showRowStripes="1" showColumnStripes="0"/>
</table>
</file>

<file path=xl/tables/table394.xml><?xml version="1.0" encoding="utf-8"?>
<table xmlns="http://schemas.openxmlformats.org/spreadsheetml/2006/main" id="394" name="Grass_50" displayName="Grass_50" ref="A11:D26" totalsRowShown="0" headerRowDxfId="3263" dataDxfId="3261" headerRowBorderDxfId="3262" tableBorderDxfId="3260" headerRowCellStyle="40% - Accent6">
  <autoFilter ref="A11:D26"/>
  <tableColumns count="4">
    <tableColumn id="1" name="Expense" dataDxfId="3259"/>
    <tableColumn id="2" name="Description" dataDxfId="3258"/>
    <tableColumn id="4" name="Label Name" dataDxfId="3257"/>
    <tableColumn id="5" name="Amount" dataDxfId="3256" dataCellStyle="20% - Accent6"/>
  </tableColumns>
  <tableStyleInfo name="TableStyleLight18" showFirstColumn="0" showLastColumn="0" showRowStripes="1" showColumnStripes="0"/>
</table>
</file>

<file path=xl/tables/table395.xml><?xml version="1.0" encoding="utf-8"?>
<table xmlns="http://schemas.openxmlformats.org/spreadsheetml/2006/main" id="395" name="Tree_50" displayName="Tree_50" ref="A30:D45" totalsRowShown="0" headerRowDxfId="3255" dataDxfId="3253" headerRowBorderDxfId="3254" tableBorderDxfId="3252" headerRowCellStyle="40% - Accent6">
  <autoFilter ref="A30:D45"/>
  <tableColumns count="4">
    <tableColumn id="1" name="Expense" dataDxfId="3251"/>
    <tableColumn id="2" name="Description" dataDxfId="3250"/>
    <tableColumn id="4" name="Label Name" dataDxfId="3249"/>
    <tableColumn id="5" name="Amount" dataDxfId="3248" dataCellStyle="40% - Accent6"/>
  </tableColumns>
  <tableStyleInfo name="TableStyleLight18" showFirstColumn="0" showLastColumn="0" showRowStripes="1" showColumnStripes="0"/>
</table>
</file>

<file path=xl/tables/table396.xml><?xml version="1.0" encoding="utf-8"?>
<table xmlns="http://schemas.openxmlformats.org/spreadsheetml/2006/main" id="396" name="Pest_50" displayName="Pest_50" ref="A49:D64" totalsRowShown="0" headerRowDxfId="3247" dataDxfId="3245" headerRowBorderDxfId="3246" tableBorderDxfId="3244" headerRowCellStyle="40% - Accent6">
  <autoFilter ref="A49:D64"/>
  <tableColumns count="4">
    <tableColumn id="1" name="Expense" dataDxfId="3243"/>
    <tableColumn id="2" name="Description" dataDxfId="3242"/>
    <tableColumn id="4" name="Label Name" dataDxfId="3241"/>
    <tableColumn id="5" name="Amount" dataDxfId="3240" dataCellStyle="40% - Accent6"/>
  </tableColumns>
  <tableStyleInfo name="TableStyleLight18" showFirstColumn="0" showLastColumn="0" showRowStripes="1" showColumnStripes="0"/>
</table>
</file>

<file path=xl/tables/table397.xml><?xml version="1.0" encoding="utf-8"?>
<table xmlns="http://schemas.openxmlformats.org/spreadsheetml/2006/main" id="397" name="Garbage_50" displayName="Garbage_50" ref="A68:D83" totalsRowShown="0" headerRowDxfId="3239" dataDxfId="3237" headerRowBorderDxfId="3238" tableBorderDxfId="3236" headerRowCellStyle="40% - Accent6">
  <autoFilter ref="A68:D83"/>
  <tableColumns count="4">
    <tableColumn id="1" name="Expense" dataDxfId="3235"/>
    <tableColumn id="2" name="Description" dataDxfId="3234"/>
    <tableColumn id="4" name="Label Name" dataDxfId="3233"/>
    <tableColumn id="5" name="Amount" dataDxfId="3232" dataCellStyle="20% - Accent6"/>
  </tableColumns>
  <tableStyleInfo name="TableStyleLight18" showFirstColumn="0" showLastColumn="0" showRowStripes="1" showColumnStripes="0"/>
</table>
</file>

<file path=xl/tables/table398.xml><?xml version="1.0" encoding="utf-8"?>
<table xmlns="http://schemas.openxmlformats.org/spreadsheetml/2006/main" id="398" name="Boarding_50" displayName="Boarding_50" ref="A87:D102" totalsRowShown="0" headerRowDxfId="3231" dataDxfId="3229" headerRowBorderDxfId="3230" tableBorderDxfId="3228" headerRowCellStyle="40% - Accent6">
  <autoFilter ref="A87:D102"/>
  <tableColumns count="4">
    <tableColumn id="1" name="Expense" dataDxfId="3227"/>
    <tableColumn id="2" name="Description" dataDxfId="3226"/>
    <tableColumn id="4" name="Label Name" dataDxfId="3225"/>
    <tableColumn id="5" name="Amount" dataDxfId="3224" dataCellStyle="40% - Accent6"/>
  </tableColumns>
  <tableStyleInfo name="TableStyleLight18" showFirstColumn="0" showLastColumn="0" showRowStripes="1" showColumnStripes="0"/>
</table>
</file>

<file path=xl/tables/table399.xml><?xml version="1.0" encoding="utf-8"?>
<table xmlns="http://schemas.openxmlformats.org/spreadsheetml/2006/main" id="399" name="Fence_50" displayName="Fence_50" ref="A106:D121" totalsRowShown="0" headerRowDxfId="3223" dataDxfId="3221" headerRowBorderDxfId="3222" tableBorderDxfId="3220" headerRowCellStyle="40% - Accent6">
  <autoFilter ref="A106:D121"/>
  <tableColumns count="4">
    <tableColumn id="1" name="Expense" dataDxfId="3219"/>
    <tableColumn id="2" name="Description" dataDxfId="3218"/>
    <tableColumn id="4" name="Label Name" dataDxfId="3217"/>
    <tableColumn id="5" name="Amount" dataDxfId="3216" dataCellStyle="40% - Accent6"/>
  </tableColumns>
  <tableStyleInfo name="TableStyleLight18" showFirstColumn="0" showLastColumn="0" showRowStripes="1" showColumnStripes="0"/>
</table>
</file>

<file path=xl/tables/table4.xml><?xml version="1.0" encoding="utf-8"?>
<table xmlns="http://schemas.openxmlformats.org/spreadsheetml/2006/main" id="4" name="Pest_1" displayName="Pest_1" ref="A49:D64" totalsRowShown="0" headerRowDxfId="6383" dataDxfId="6381" headerRowBorderDxfId="6382" tableBorderDxfId="6380" headerRowCellStyle="40% - Accent6">
  <autoFilter ref="A49:D64"/>
  <tableColumns count="4">
    <tableColumn id="1" name="Expense" dataDxfId="6379"/>
    <tableColumn id="2" name="Description" dataDxfId="6378"/>
    <tableColumn id="4" name="Label Name" dataDxfId="6377"/>
    <tableColumn id="5" name="Amount" dataDxfId="6376" dataCellStyle="40% - Accent6"/>
  </tableColumns>
  <tableStyleInfo name="TableStyleLight18" showFirstColumn="0" showLastColumn="0" showRowStripes="1" showColumnStripes="0"/>
</table>
</file>

<file path=xl/tables/table40.xml><?xml version="1.0" encoding="utf-8"?>
<table xmlns="http://schemas.openxmlformats.org/spreadsheetml/2006/main" id="105" name="Demolition_5" displayName="Demolition_5" ref="A125:D140" totalsRowShown="0" headerRowDxfId="6095" dataDxfId="6093" headerRowBorderDxfId="6094" tableBorderDxfId="6092" headerRowCellStyle="40% - Accent6">
  <autoFilter ref="A125:D140"/>
  <tableColumns count="4">
    <tableColumn id="1" name="Expense" dataDxfId="6091"/>
    <tableColumn id="2" name="Description" dataDxfId="6090"/>
    <tableColumn id="4" name="Label Name" dataDxfId="6089"/>
    <tableColumn id="5" name="Amount" dataDxfId="6088" dataCellStyle="40% - Accent6"/>
  </tableColumns>
  <tableStyleInfo name="TableStyleLight18" showFirstColumn="0" showLastColumn="0" showRowStripes="1" showColumnStripes="0"/>
</table>
</file>

<file path=xl/tables/table400.xml><?xml version="1.0" encoding="utf-8"?>
<table xmlns="http://schemas.openxmlformats.org/spreadsheetml/2006/main" id="400" name="Demolition_50" displayName="Demolition_50" ref="A125:D140" totalsRowShown="0" headerRowDxfId="3215" dataDxfId="3213" headerRowBorderDxfId="3214" tableBorderDxfId="3212" headerRowCellStyle="40% - Accent6">
  <autoFilter ref="A125:D140"/>
  <tableColumns count="4">
    <tableColumn id="1" name="Expense" dataDxfId="3211"/>
    <tableColumn id="2" name="Description" dataDxfId="3210"/>
    <tableColumn id="4" name="Label Name" dataDxfId="3209"/>
    <tableColumn id="5" name="Amount" dataDxfId="3208" dataCellStyle="40% - Accent6"/>
  </tableColumns>
  <tableStyleInfo name="TableStyleLight18" showFirstColumn="0" showLastColumn="0" showRowStripes="1" showColumnStripes="0"/>
</table>
</file>

<file path=xl/tables/table401.xml><?xml version="1.0" encoding="utf-8"?>
<table xmlns="http://schemas.openxmlformats.org/spreadsheetml/2006/main" id="401" name="Rehab_50" displayName="Rehab_50" ref="A144:D159" totalsRowShown="0" headerRowDxfId="3207" dataDxfId="3205" headerRowBorderDxfId="3206" tableBorderDxfId="3204" headerRowCellStyle="40% - Accent6">
  <autoFilter ref="A144:D159"/>
  <tableColumns count="4">
    <tableColumn id="1" name="Expense" dataDxfId="3203"/>
    <tableColumn id="2" name="Description" dataDxfId="3202"/>
    <tableColumn id="4" name="Label Name" dataDxfId="3201"/>
    <tableColumn id="5" name="Amount" dataDxfId="3200" dataCellStyle="40% - Accent6"/>
  </tableColumns>
  <tableStyleInfo name="TableStyleLight18" showFirstColumn="0" showLastColumn="0" showRowStripes="1" showColumnStripes="0"/>
</table>
</file>

<file path=xl/tables/table402.xml><?xml version="1.0" encoding="utf-8"?>
<table xmlns="http://schemas.openxmlformats.org/spreadsheetml/2006/main" id="402" name="Grass_51" displayName="Grass_51" ref="A11:D26" totalsRowShown="0" headerRowDxfId="3199" dataDxfId="3197" headerRowBorderDxfId="3198" tableBorderDxfId="3196" headerRowCellStyle="40% - Accent6">
  <autoFilter ref="A11:D26"/>
  <tableColumns count="4">
    <tableColumn id="1" name="Expense" dataDxfId="3195"/>
    <tableColumn id="2" name="Description" dataDxfId="3194"/>
    <tableColumn id="4" name="Label Name" dataDxfId="3193"/>
    <tableColumn id="5" name="Amount" dataDxfId="3192" dataCellStyle="20% - Accent6"/>
  </tableColumns>
  <tableStyleInfo name="TableStyleLight18" showFirstColumn="0" showLastColumn="0" showRowStripes="1" showColumnStripes="0"/>
</table>
</file>

<file path=xl/tables/table403.xml><?xml version="1.0" encoding="utf-8"?>
<table xmlns="http://schemas.openxmlformats.org/spreadsheetml/2006/main" id="403" name="Tree_51" displayName="Tree_51" ref="A30:D45" totalsRowShown="0" headerRowDxfId="3191" dataDxfId="3189" headerRowBorderDxfId="3190" tableBorderDxfId="3188" headerRowCellStyle="40% - Accent6">
  <autoFilter ref="A30:D45"/>
  <tableColumns count="4">
    <tableColumn id="1" name="Expense" dataDxfId="3187"/>
    <tableColumn id="2" name="Description" dataDxfId="3186"/>
    <tableColumn id="4" name="Label Name" dataDxfId="3185"/>
    <tableColumn id="5" name="Amount" dataDxfId="3184" dataCellStyle="40% - Accent6"/>
  </tableColumns>
  <tableStyleInfo name="TableStyleLight18" showFirstColumn="0" showLastColumn="0" showRowStripes="1" showColumnStripes="0"/>
</table>
</file>

<file path=xl/tables/table404.xml><?xml version="1.0" encoding="utf-8"?>
<table xmlns="http://schemas.openxmlformats.org/spreadsheetml/2006/main" id="404" name="Pest_51" displayName="Pest_51" ref="A49:D64" totalsRowShown="0" headerRowDxfId="3183" dataDxfId="3181" headerRowBorderDxfId="3182" tableBorderDxfId="3180" headerRowCellStyle="40% - Accent6">
  <autoFilter ref="A49:D64"/>
  <tableColumns count="4">
    <tableColumn id="1" name="Expense" dataDxfId="3179"/>
    <tableColumn id="2" name="Description" dataDxfId="3178"/>
    <tableColumn id="4" name="Label Name" dataDxfId="3177"/>
    <tableColumn id="5" name="Amount" dataDxfId="3176" dataCellStyle="40% - Accent6"/>
  </tableColumns>
  <tableStyleInfo name="TableStyleLight18" showFirstColumn="0" showLastColumn="0" showRowStripes="1" showColumnStripes="0"/>
</table>
</file>

<file path=xl/tables/table405.xml><?xml version="1.0" encoding="utf-8"?>
<table xmlns="http://schemas.openxmlformats.org/spreadsheetml/2006/main" id="405" name="Garbage_51" displayName="Garbage_51" ref="A68:D83" totalsRowShown="0" headerRowDxfId="3175" dataDxfId="3173" headerRowBorderDxfId="3174" tableBorderDxfId="3172" headerRowCellStyle="40% - Accent6">
  <autoFilter ref="A68:D83"/>
  <tableColumns count="4">
    <tableColumn id="1" name="Expense" dataDxfId="3171"/>
    <tableColumn id="2" name="Description" dataDxfId="3170"/>
    <tableColumn id="4" name="Label Name" dataDxfId="3169"/>
    <tableColumn id="5" name="Amount" dataDxfId="3168" dataCellStyle="20% - Accent6"/>
  </tableColumns>
  <tableStyleInfo name="TableStyleLight18" showFirstColumn="0" showLastColumn="0" showRowStripes="1" showColumnStripes="0"/>
</table>
</file>

<file path=xl/tables/table406.xml><?xml version="1.0" encoding="utf-8"?>
<table xmlns="http://schemas.openxmlformats.org/spreadsheetml/2006/main" id="406" name="Boarding_51" displayName="Boarding_51" ref="A87:D102" totalsRowShown="0" headerRowDxfId="3167" dataDxfId="3165" headerRowBorderDxfId="3166" tableBorderDxfId="3164" headerRowCellStyle="40% - Accent6">
  <autoFilter ref="A87:D102"/>
  <tableColumns count="4">
    <tableColumn id="1" name="Expense" dataDxfId="3163"/>
    <tableColumn id="2" name="Description" dataDxfId="3162"/>
    <tableColumn id="4" name="Label Name" dataDxfId="3161"/>
    <tableColumn id="5" name="Amount" dataDxfId="3160" dataCellStyle="40% - Accent6"/>
  </tableColumns>
  <tableStyleInfo name="TableStyleLight18" showFirstColumn="0" showLastColumn="0" showRowStripes="1" showColumnStripes="0"/>
</table>
</file>

<file path=xl/tables/table407.xml><?xml version="1.0" encoding="utf-8"?>
<table xmlns="http://schemas.openxmlformats.org/spreadsheetml/2006/main" id="407" name="Fence_51" displayName="Fence_51" ref="A106:D121" totalsRowShown="0" headerRowDxfId="3159" dataDxfId="3157" headerRowBorderDxfId="3158" tableBorderDxfId="3156" headerRowCellStyle="40% - Accent6">
  <autoFilter ref="A106:D121"/>
  <tableColumns count="4">
    <tableColumn id="1" name="Expense" dataDxfId="3155"/>
    <tableColumn id="2" name="Description" dataDxfId="3154"/>
    <tableColumn id="4" name="Label Name" dataDxfId="3153"/>
    <tableColumn id="5" name="Amount" dataDxfId="3152" dataCellStyle="40% - Accent6"/>
  </tableColumns>
  <tableStyleInfo name="TableStyleLight18" showFirstColumn="0" showLastColumn="0" showRowStripes="1" showColumnStripes="0"/>
</table>
</file>

<file path=xl/tables/table408.xml><?xml version="1.0" encoding="utf-8"?>
<table xmlns="http://schemas.openxmlformats.org/spreadsheetml/2006/main" id="408" name="Demolition_51" displayName="Demolition_51" ref="A125:D140" totalsRowShown="0" headerRowDxfId="3151" dataDxfId="3149" headerRowBorderDxfId="3150" tableBorderDxfId="3148" headerRowCellStyle="40% - Accent6">
  <autoFilter ref="A125:D140"/>
  <tableColumns count="4">
    <tableColumn id="1" name="Expense" dataDxfId="3147"/>
    <tableColumn id="2" name="Description" dataDxfId="3146"/>
    <tableColumn id="4" name="Label Name" dataDxfId="3145"/>
    <tableColumn id="5" name="Amount" dataDxfId="3144" dataCellStyle="40% - Accent6"/>
  </tableColumns>
  <tableStyleInfo name="TableStyleLight18" showFirstColumn="0" showLastColumn="0" showRowStripes="1" showColumnStripes="0"/>
</table>
</file>

<file path=xl/tables/table409.xml><?xml version="1.0" encoding="utf-8"?>
<table xmlns="http://schemas.openxmlformats.org/spreadsheetml/2006/main" id="409" name="Rehab_51" displayName="Rehab_51" ref="A144:D159" totalsRowShown="0" headerRowDxfId="3143" dataDxfId="3141" headerRowBorderDxfId="3142" tableBorderDxfId="3140" headerRowCellStyle="40% - Accent6">
  <autoFilter ref="A144:D159"/>
  <tableColumns count="4">
    <tableColumn id="1" name="Expense" dataDxfId="3139"/>
    <tableColumn id="2" name="Description" dataDxfId="3138"/>
    <tableColumn id="4" name="Label Name" dataDxfId="3137"/>
    <tableColumn id="5" name="Amount" dataDxfId="3136" dataCellStyle="40% - Accent6"/>
  </tableColumns>
  <tableStyleInfo name="TableStyleLight18" showFirstColumn="0" showLastColumn="0" showRowStripes="1" showColumnStripes="0"/>
</table>
</file>

<file path=xl/tables/table41.xml><?xml version="1.0" encoding="utf-8"?>
<table xmlns="http://schemas.openxmlformats.org/spreadsheetml/2006/main" id="106" name="Rehab_5" displayName="Rehab_5" ref="A144:D159" totalsRowShown="0" headerRowDxfId="6087" dataDxfId="6085" headerRowBorderDxfId="6086" tableBorderDxfId="6084" headerRowCellStyle="40% - Accent6">
  <autoFilter ref="A144:D159"/>
  <tableColumns count="4">
    <tableColumn id="1" name="Expense" dataDxfId="6083"/>
    <tableColumn id="2" name="Description" dataDxfId="6082"/>
    <tableColumn id="4" name="Label Name" dataDxfId="6081"/>
    <tableColumn id="5" name="Amount" dataDxfId="6080" dataCellStyle="40% - Accent6"/>
  </tableColumns>
  <tableStyleInfo name="TableStyleLight18" showFirstColumn="0" showLastColumn="0" showRowStripes="1" showColumnStripes="0"/>
</table>
</file>

<file path=xl/tables/table410.xml><?xml version="1.0" encoding="utf-8"?>
<table xmlns="http://schemas.openxmlformats.org/spreadsheetml/2006/main" id="410" name="Grass_52" displayName="Grass_52" ref="A11:D26" totalsRowShown="0" headerRowDxfId="3135" dataDxfId="3133" headerRowBorderDxfId="3134" tableBorderDxfId="3132" headerRowCellStyle="40% - Accent6">
  <autoFilter ref="A11:D26"/>
  <tableColumns count="4">
    <tableColumn id="1" name="Expense" dataDxfId="3131"/>
    <tableColumn id="2" name="Description" dataDxfId="3130"/>
    <tableColumn id="4" name="Label Name" dataDxfId="3129"/>
    <tableColumn id="5" name="Amount" dataDxfId="3128" dataCellStyle="20% - Accent6"/>
  </tableColumns>
  <tableStyleInfo name="TableStyleLight18" showFirstColumn="0" showLastColumn="0" showRowStripes="1" showColumnStripes="0"/>
</table>
</file>

<file path=xl/tables/table411.xml><?xml version="1.0" encoding="utf-8"?>
<table xmlns="http://schemas.openxmlformats.org/spreadsheetml/2006/main" id="411" name="Tree_52" displayName="Tree_52" ref="A30:D45" totalsRowShown="0" headerRowDxfId="3127" dataDxfId="3125" headerRowBorderDxfId="3126" tableBorderDxfId="3124" headerRowCellStyle="40% - Accent6">
  <autoFilter ref="A30:D45"/>
  <tableColumns count="4">
    <tableColumn id="1" name="Expense" dataDxfId="3123"/>
    <tableColumn id="2" name="Description" dataDxfId="3122"/>
    <tableColumn id="4" name="Label Name" dataDxfId="3121"/>
    <tableColumn id="5" name="Amount" dataDxfId="3120" dataCellStyle="40% - Accent6"/>
  </tableColumns>
  <tableStyleInfo name="TableStyleLight18" showFirstColumn="0" showLastColumn="0" showRowStripes="1" showColumnStripes="0"/>
</table>
</file>

<file path=xl/tables/table412.xml><?xml version="1.0" encoding="utf-8"?>
<table xmlns="http://schemas.openxmlformats.org/spreadsheetml/2006/main" id="412" name="Pest_52" displayName="Pest_52" ref="A49:D64" totalsRowShown="0" headerRowDxfId="3119" dataDxfId="3117" headerRowBorderDxfId="3118" tableBorderDxfId="3116" headerRowCellStyle="40% - Accent6">
  <autoFilter ref="A49:D64"/>
  <tableColumns count="4">
    <tableColumn id="1" name="Expense" dataDxfId="3115"/>
    <tableColumn id="2" name="Description" dataDxfId="3114"/>
    <tableColumn id="4" name="Label Name" dataDxfId="3113"/>
    <tableColumn id="5" name="Amount" dataDxfId="3112" dataCellStyle="40% - Accent6"/>
  </tableColumns>
  <tableStyleInfo name="TableStyleLight18" showFirstColumn="0" showLastColumn="0" showRowStripes="1" showColumnStripes="0"/>
</table>
</file>

<file path=xl/tables/table413.xml><?xml version="1.0" encoding="utf-8"?>
<table xmlns="http://schemas.openxmlformats.org/spreadsheetml/2006/main" id="413" name="Garbage_52" displayName="Garbage_52" ref="A68:D83" totalsRowShown="0" headerRowDxfId="3111" dataDxfId="3109" headerRowBorderDxfId="3110" tableBorderDxfId="3108" headerRowCellStyle="40% - Accent6">
  <autoFilter ref="A68:D83"/>
  <tableColumns count="4">
    <tableColumn id="1" name="Expense" dataDxfId="3107"/>
    <tableColumn id="2" name="Description" dataDxfId="3106"/>
    <tableColumn id="4" name="Label Name" dataDxfId="3105"/>
    <tableColumn id="5" name="Amount" dataDxfId="3104" dataCellStyle="20% - Accent6"/>
  </tableColumns>
  <tableStyleInfo name="TableStyleLight18" showFirstColumn="0" showLastColumn="0" showRowStripes="1" showColumnStripes="0"/>
</table>
</file>

<file path=xl/tables/table414.xml><?xml version="1.0" encoding="utf-8"?>
<table xmlns="http://schemas.openxmlformats.org/spreadsheetml/2006/main" id="414" name="Boarding_52" displayName="Boarding_52" ref="A87:D102" totalsRowShown="0" headerRowDxfId="3103" dataDxfId="3101" headerRowBorderDxfId="3102" tableBorderDxfId="3100" headerRowCellStyle="40% - Accent6">
  <autoFilter ref="A87:D102"/>
  <tableColumns count="4">
    <tableColumn id="1" name="Expense" dataDxfId="3099"/>
    <tableColumn id="2" name="Description" dataDxfId="3098"/>
    <tableColumn id="4" name="Label Name" dataDxfId="3097"/>
    <tableColumn id="5" name="Amount" dataDxfId="3096" dataCellStyle="40% - Accent6"/>
  </tableColumns>
  <tableStyleInfo name="TableStyleLight18" showFirstColumn="0" showLastColumn="0" showRowStripes="1" showColumnStripes="0"/>
</table>
</file>

<file path=xl/tables/table415.xml><?xml version="1.0" encoding="utf-8"?>
<table xmlns="http://schemas.openxmlformats.org/spreadsheetml/2006/main" id="415" name="Fence_52" displayName="Fence_52" ref="A106:D121" totalsRowShown="0" headerRowDxfId="3095" dataDxfId="3093" headerRowBorderDxfId="3094" tableBorderDxfId="3092" headerRowCellStyle="40% - Accent6">
  <autoFilter ref="A106:D121"/>
  <tableColumns count="4">
    <tableColumn id="1" name="Expense" dataDxfId="3091"/>
    <tableColumn id="2" name="Description" dataDxfId="3090"/>
    <tableColumn id="4" name="Label Name" dataDxfId="3089"/>
    <tableColumn id="5" name="Amount" dataDxfId="3088" dataCellStyle="40% - Accent6"/>
  </tableColumns>
  <tableStyleInfo name="TableStyleLight18" showFirstColumn="0" showLastColumn="0" showRowStripes="1" showColumnStripes="0"/>
</table>
</file>

<file path=xl/tables/table416.xml><?xml version="1.0" encoding="utf-8"?>
<table xmlns="http://schemas.openxmlformats.org/spreadsheetml/2006/main" id="416" name="Demolition_52" displayName="Demolition_52" ref="A125:D140" totalsRowShown="0" headerRowDxfId="3087" dataDxfId="3085" headerRowBorderDxfId="3086" tableBorderDxfId="3084" headerRowCellStyle="40% - Accent6">
  <autoFilter ref="A125:D140"/>
  <tableColumns count="4">
    <tableColumn id="1" name="Expense" dataDxfId="3083"/>
    <tableColumn id="2" name="Description" dataDxfId="3082"/>
    <tableColumn id="4" name="Label Name" dataDxfId="3081"/>
    <tableColumn id="5" name="Amount" dataDxfId="3080" dataCellStyle="40% - Accent6"/>
  </tableColumns>
  <tableStyleInfo name="TableStyleLight18" showFirstColumn="0" showLastColumn="0" showRowStripes="1" showColumnStripes="0"/>
</table>
</file>

<file path=xl/tables/table417.xml><?xml version="1.0" encoding="utf-8"?>
<table xmlns="http://schemas.openxmlformats.org/spreadsheetml/2006/main" id="417" name="Rehab_52" displayName="Rehab_52" ref="A144:D159" totalsRowShown="0" headerRowDxfId="3079" dataDxfId="3077" headerRowBorderDxfId="3078" tableBorderDxfId="3076" headerRowCellStyle="40% - Accent6">
  <autoFilter ref="A144:D159"/>
  <tableColumns count="4">
    <tableColumn id="1" name="Expense" dataDxfId="3075"/>
    <tableColumn id="2" name="Description" dataDxfId="3074"/>
    <tableColumn id="4" name="Label Name" dataDxfId="3073"/>
    <tableColumn id="5" name="Amount" dataDxfId="3072" dataCellStyle="40% - Accent6"/>
  </tableColumns>
  <tableStyleInfo name="TableStyleLight18" showFirstColumn="0" showLastColumn="0" showRowStripes="1" showColumnStripes="0"/>
</table>
</file>

<file path=xl/tables/table418.xml><?xml version="1.0" encoding="utf-8"?>
<table xmlns="http://schemas.openxmlformats.org/spreadsheetml/2006/main" id="418" name="Grass_53" displayName="Grass_53" ref="A11:D26" totalsRowShown="0" headerRowDxfId="3071" dataDxfId="3069" headerRowBorderDxfId="3070" tableBorderDxfId="3068" headerRowCellStyle="40% - Accent6">
  <autoFilter ref="A11:D26"/>
  <tableColumns count="4">
    <tableColumn id="1" name="Expense" dataDxfId="3067"/>
    <tableColumn id="2" name="Description" dataDxfId="3066"/>
    <tableColumn id="4" name="Label Name" dataDxfId="3065"/>
    <tableColumn id="5" name="Amount" dataDxfId="3064" dataCellStyle="20% - Accent6"/>
  </tableColumns>
  <tableStyleInfo name="TableStyleLight18" showFirstColumn="0" showLastColumn="0" showRowStripes="1" showColumnStripes="0"/>
</table>
</file>

<file path=xl/tables/table419.xml><?xml version="1.0" encoding="utf-8"?>
<table xmlns="http://schemas.openxmlformats.org/spreadsheetml/2006/main" id="419" name="Tree_53" displayName="Tree_53" ref="A30:D45" totalsRowShown="0" headerRowDxfId="3063" dataDxfId="3061" headerRowBorderDxfId="3062" tableBorderDxfId="3060" headerRowCellStyle="40% - Accent6">
  <autoFilter ref="A30:D45"/>
  <tableColumns count="4">
    <tableColumn id="1" name="Expense" dataDxfId="3059"/>
    <tableColumn id="2" name="Description" dataDxfId="3058"/>
    <tableColumn id="4" name="Label Name" dataDxfId="3057"/>
    <tableColumn id="5" name="Amount" dataDxfId="3056" dataCellStyle="40% - Accent6"/>
  </tableColumns>
  <tableStyleInfo name="TableStyleLight18" showFirstColumn="0" showLastColumn="0" showRowStripes="1" showColumnStripes="0"/>
</table>
</file>

<file path=xl/tables/table42.xml><?xml version="1.0" encoding="utf-8"?>
<table xmlns="http://schemas.openxmlformats.org/spreadsheetml/2006/main" id="107" name="Grass_6" displayName="Grass_6" ref="A11:D26" totalsRowShown="0" headerRowDxfId="6079" dataDxfId="6077" headerRowBorderDxfId="6078" tableBorderDxfId="6076" headerRowCellStyle="40% - Accent6">
  <autoFilter ref="A11:D26"/>
  <tableColumns count="4">
    <tableColumn id="1" name="Expense" dataDxfId="6075"/>
    <tableColumn id="2" name="Description" dataDxfId="6074"/>
    <tableColumn id="4" name="Label Name" dataDxfId="6073"/>
    <tableColumn id="5" name="Amount" dataDxfId="6072" dataCellStyle="20% - Accent6"/>
  </tableColumns>
  <tableStyleInfo name="TableStyleLight18" showFirstColumn="0" showLastColumn="0" showRowStripes="1" showColumnStripes="0"/>
</table>
</file>

<file path=xl/tables/table420.xml><?xml version="1.0" encoding="utf-8"?>
<table xmlns="http://schemas.openxmlformats.org/spreadsheetml/2006/main" id="420" name="Pest_53" displayName="Pest_53" ref="A49:D64" totalsRowShown="0" headerRowDxfId="3055" dataDxfId="3053" headerRowBorderDxfId="3054" tableBorderDxfId="3052" headerRowCellStyle="40% - Accent6">
  <autoFilter ref="A49:D64"/>
  <tableColumns count="4">
    <tableColumn id="1" name="Expense" dataDxfId="3051"/>
    <tableColumn id="2" name="Description" dataDxfId="3050"/>
    <tableColumn id="4" name="Label Name" dataDxfId="3049"/>
    <tableColumn id="5" name="Amount" dataDxfId="3048" dataCellStyle="40% - Accent6"/>
  </tableColumns>
  <tableStyleInfo name="TableStyleLight18" showFirstColumn="0" showLastColumn="0" showRowStripes="1" showColumnStripes="0"/>
</table>
</file>

<file path=xl/tables/table421.xml><?xml version="1.0" encoding="utf-8"?>
<table xmlns="http://schemas.openxmlformats.org/spreadsheetml/2006/main" id="421" name="Garbage_53" displayName="Garbage_53" ref="A68:D83" totalsRowShown="0" headerRowDxfId="3047" dataDxfId="3045" headerRowBorderDxfId="3046" tableBorderDxfId="3044" headerRowCellStyle="40% - Accent6">
  <autoFilter ref="A68:D83"/>
  <tableColumns count="4">
    <tableColumn id="1" name="Expense" dataDxfId="3043"/>
    <tableColumn id="2" name="Description" dataDxfId="3042"/>
    <tableColumn id="4" name="Label Name" dataDxfId="3041"/>
    <tableColumn id="5" name="Amount" dataDxfId="3040" dataCellStyle="20% - Accent6"/>
  </tableColumns>
  <tableStyleInfo name="TableStyleLight18" showFirstColumn="0" showLastColumn="0" showRowStripes="1" showColumnStripes="0"/>
</table>
</file>

<file path=xl/tables/table422.xml><?xml version="1.0" encoding="utf-8"?>
<table xmlns="http://schemas.openxmlformats.org/spreadsheetml/2006/main" id="422" name="Boarding_53" displayName="Boarding_53" ref="A87:D102" totalsRowShown="0" headerRowDxfId="3039" dataDxfId="3037" headerRowBorderDxfId="3038" tableBorderDxfId="3036" headerRowCellStyle="40% - Accent6">
  <autoFilter ref="A87:D102"/>
  <tableColumns count="4">
    <tableColumn id="1" name="Expense" dataDxfId="3035"/>
    <tableColumn id="2" name="Description" dataDxfId="3034"/>
    <tableColumn id="4" name="Label Name" dataDxfId="3033"/>
    <tableColumn id="5" name="Amount" dataDxfId="3032" dataCellStyle="40% - Accent6"/>
  </tableColumns>
  <tableStyleInfo name="TableStyleLight18" showFirstColumn="0" showLastColumn="0" showRowStripes="1" showColumnStripes="0"/>
</table>
</file>

<file path=xl/tables/table423.xml><?xml version="1.0" encoding="utf-8"?>
<table xmlns="http://schemas.openxmlformats.org/spreadsheetml/2006/main" id="423" name="Fence_53" displayName="Fence_53" ref="A106:D121" totalsRowShown="0" headerRowDxfId="3031" dataDxfId="3029" headerRowBorderDxfId="3030" tableBorderDxfId="3028" headerRowCellStyle="40% - Accent6">
  <autoFilter ref="A106:D121"/>
  <tableColumns count="4">
    <tableColumn id="1" name="Expense" dataDxfId="3027"/>
    <tableColumn id="2" name="Description" dataDxfId="3026"/>
    <tableColumn id="4" name="Label Name" dataDxfId="3025"/>
    <tableColumn id="5" name="Amount" dataDxfId="3024" dataCellStyle="40% - Accent6"/>
  </tableColumns>
  <tableStyleInfo name="TableStyleLight18" showFirstColumn="0" showLastColumn="0" showRowStripes="1" showColumnStripes="0"/>
</table>
</file>

<file path=xl/tables/table424.xml><?xml version="1.0" encoding="utf-8"?>
<table xmlns="http://schemas.openxmlformats.org/spreadsheetml/2006/main" id="424" name="Demolition_53" displayName="Demolition_53" ref="A125:D140" totalsRowShown="0" headerRowDxfId="3023" dataDxfId="3021" headerRowBorderDxfId="3022" tableBorderDxfId="3020" headerRowCellStyle="40% - Accent6">
  <autoFilter ref="A125:D140"/>
  <tableColumns count="4">
    <tableColumn id="1" name="Expense" dataDxfId="3019"/>
    <tableColumn id="2" name="Description" dataDxfId="3018"/>
    <tableColumn id="4" name="Label Name" dataDxfId="3017"/>
    <tableColumn id="5" name="Amount" dataDxfId="3016" dataCellStyle="40% - Accent6"/>
  </tableColumns>
  <tableStyleInfo name="TableStyleLight18" showFirstColumn="0" showLastColumn="0" showRowStripes="1" showColumnStripes="0"/>
</table>
</file>

<file path=xl/tables/table425.xml><?xml version="1.0" encoding="utf-8"?>
<table xmlns="http://schemas.openxmlformats.org/spreadsheetml/2006/main" id="425" name="Rehab_53" displayName="Rehab_53" ref="A144:D159" totalsRowShown="0" headerRowDxfId="3015" dataDxfId="3013" headerRowBorderDxfId="3014" tableBorderDxfId="3012" headerRowCellStyle="40% - Accent6">
  <autoFilter ref="A144:D159"/>
  <tableColumns count="4">
    <tableColumn id="1" name="Expense" dataDxfId="3011"/>
    <tableColumn id="2" name="Description" dataDxfId="3010"/>
    <tableColumn id="4" name="Label Name" dataDxfId="3009"/>
    <tableColumn id="5" name="Amount" dataDxfId="3008" dataCellStyle="40% - Accent6"/>
  </tableColumns>
  <tableStyleInfo name="TableStyleLight18" showFirstColumn="0" showLastColumn="0" showRowStripes="1" showColumnStripes="0"/>
</table>
</file>

<file path=xl/tables/table426.xml><?xml version="1.0" encoding="utf-8"?>
<table xmlns="http://schemas.openxmlformats.org/spreadsheetml/2006/main" id="426" name="Grass_54" displayName="Grass_54" ref="A11:D26" totalsRowShown="0" headerRowDxfId="3007" dataDxfId="3005" headerRowBorderDxfId="3006" tableBorderDxfId="3004" headerRowCellStyle="40% - Accent6">
  <autoFilter ref="A11:D26"/>
  <tableColumns count="4">
    <tableColumn id="1" name="Expense" dataDxfId="3003"/>
    <tableColumn id="2" name="Description" dataDxfId="3002"/>
    <tableColumn id="4" name="Label Name" dataDxfId="3001"/>
    <tableColumn id="5" name="Amount" dataDxfId="3000" dataCellStyle="20% - Accent6"/>
  </tableColumns>
  <tableStyleInfo name="TableStyleLight18" showFirstColumn="0" showLastColumn="0" showRowStripes="1" showColumnStripes="0"/>
</table>
</file>

<file path=xl/tables/table427.xml><?xml version="1.0" encoding="utf-8"?>
<table xmlns="http://schemas.openxmlformats.org/spreadsheetml/2006/main" id="427" name="Tree_54" displayName="Tree_54" ref="A30:D45" totalsRowShown="0" headerRowDxfId="2999" dataDxfId="2997" headerRowBorderDxfId="2998" tableBorderDxfId="2996" headerRowCellStyle="40% - Accent6">
  <autoFilter ref="A30:D45"/>
  <tableColumns count="4">
    <tableColumn id="1" name="Expense" dataDxfId="2995"/>
    <tableColumn id="2" name="Description" dataDxfId="2994"/>
    <tableColumn id="4" name="Label Name" dataDxfId="2993"/>
    <tableColumn id="5" name="Amount" dataDxfId="2992" dataCellStyle="40% - Accent6"/>
  </tableColumns>
  <tableStyleInfo name="TableStyleLight18" showFirstColumn="0" showLastColumn="0" showRowStripes="1" showColumnStripes="0"/>
</table>
</file>

<file path=xl/tables/table428.xml><?xml version="1.0" encoding="utf-8"?>
<table xmlns="http://schemas.openxmlformats.org/spreadsheetml/2006/main" id="428" name="Pest_54" displayName="Pest_54" ref="A49:D64" totalsRowShown="0" headerRowDxfId="2991" dataDxfId="2989" headerRowBorderDxfId="2990" tableBorderDxfId="2988" headerRowCellStyle="40% - Accent6">
  <autoFilter ref="A49:D64"/>
  <tableColumns count="4">
    <tableColumn id="1" name="Expense" dataDxfId="2987"/>
    <tableColumn id="2" name="Description" dataDxfId="2986"/>
    <tableColumn id="4" name="Label Name" dataDxfId="2985"/>
    <tableColumn id="5" name="Amount" dataDxfId="2984" dataCellStyle="40% - Accent6"/>
  </tableColumns>
  <tableStyleInfo name="TableStyleLight18" showFirstColumn="0" showLastColumn="0" showRowStripes="1" showColumnStripes="0"/>
</table>
</file>

<file path=xl/tables/table429.xml><?xml version="1.0" encoding="utf-8"?>
<table xmlns="http://schemas.openxmlformats.org/spreadsheetml/2006/main" id="429" name="Garbage_54" displayName="Garbage_54" ref="A68:D83" totalsRowShown="0" headerRowDxfId="2983" dataDxfId="2981" headerRowBorderDxfId="2982" tableBorderDxfId="2980" headerRowCellStyle="40% - Accent6">
  <autoFilter ref="A68:D83"/>
  <tableColumns count="4">
    <tableColumn id="1" name="Expense" dataDxfId="2979"/>
    <tableColumn id="2" name="Description" dataDxfId="2978"/>
    <tableColumn id="4" name="Label Name" dataDxfId="2977"/>
    <tableColumn id="5" name="Amount" dataDxfId="2976" dataCellStyle="20% - Accent6"/>
  </tableColumns>
  <tableStyleInfo name="TableStyleLight18" showFirstColumn="0" showLastColumn="0" showRowStripes="1" showColumnStripes="0"/>
</table>
</file>

<file path=xl/tables/table43.xml><?xml version="1.0" encoding="utf-8"?>
<table xmlns="http://schemas.openxmlformats.org/spreadsheetml/2006/main" id="108" name="Tree_6" displayName="Tree_6" ref="A30:D45" totalsRowShown="0" headerRowDxfId="6071" dataDxfId="6069" headerRowBorderDxfId="6070" tableBorderDxfId="6068" headerRowCellStyle="40% - Accent6">
  <autoFilter ref="A30:D45"/>
  <tableColumns count="4">
    <tableColumn id="1" name="Expense" dataDxfId="6067"/>
    <tableColumn id="2" name="Description" dataDxfId="6066"/>
    <tableColumn id="4" name="Label Name" dataDxfId="6065"/>
    <tableColumn id="5" name="Amount" dataDxfId="6064" dataCellStyle="40% - Accent6"/>
  </tableColumns>
  <tableStyleInfo name="TableStyleLight18" showFirstColumn="0" showLastColumn="0" showRowStripes="1" showColumnStripes="0"/>
</table>
</file>

<file path=xl/tables/table430.xml><?xml version="1.0" encoding="utf-8"?>
<table xmlns="http://schemas.openxmlformats.org/spreadsheetml/2006/main" id="430" name="Boarding_54" displayName="Boarding_54" ref="A87:D102" totalsRowShown="0" headerRowDxfId="2975" dataDxfId="2973" headerRowBorderDxfId="2974" tableBorderDxfId="2972" headerRowCellStyle="40% - Accent6">
  <autoFilter ref="A87:D102"/>
  <tableColumns count="4">
    <tableColumn id="1" name="Expense" dataDxfId="2971"/>
    <tableColumn id="2" name="Description" dataDxfId="2970"/>
    <tableColumn id="4" name="Label Name" dataDxfId="2969"/>
    <tableColumn id="5" name="Amount" dataDxfId="2968" dataCellStyle="40% - Accent6"/>
  </tableColumns>
  <tableStyleInfo name="TableStyleLight18" showFirstColumn="0" showLastColumn="0" showRowStripes="1" showColumnStripes="0"/>
</table>
</file>

<file path=xl/tables/table431.xml><?xml version="1.0" encoding="utf-8"?>
<table xmlns="http://schemas.openxmlformats.org/spreadsheetml/2006/main" id="431" name="Fence_54" displayName="Fence_54" ref="A106:D121" totalsRowShown="0" headerRowDxfId="2967" dataDxfId="2965" headerRowBorderDxfId="2966" tableBorderDxfId="2964" headerRowCellStyle="40% - Accent6">
  <autoFilter ref="A106:D121"/>
  <tableColumns count="4">
    <tableColumn id="1" name="Expense" dataDxfId="2963"/>
    <tableColumn id="2" name="Description" dataDxfId="2962"/>
    <tableColumn id="4" name="Label Name" dataDxfId="2961"/>
    <tableColumn id="5" name="Amount" dataDxfId="2960" dataCellStyle="40% - Accent6"/>
  </tableColumns>
  <tableStyleInfo name="TableStyleLight18" showFirstColumn="0" showLastColumn="0" showRowStripes="1" showColumnStripes="0"/>
</table>
</file>

<file path=xl/tables/table432.xml><?xml version="1.0" encoding="utf-8"?>
<table xmlns="http://schemas.openxmlformats.org/spreadsheetml/2006/main" id="432" name="Demolition_54" displayName="Demolition_54" ref="A125:D140" totalsRowShown="0" headerRowDxfId="2959" dataDxfId="2957" headerRowBorderDxfId="2958" tableBorderDxfId="2956" headerRowCellStyle="40% - Accent6">
  <autoFilter ref="A125:D140"/>
  <tableColumns count="4">
    <tableColumn id="1" name="Expense" dataDxfId="2955"/>
    <tableColumn id="2" name="Description" dataDxfId="2954"/>
    <tableColumn id="4" name="Label Name" dataDxfId="2953"/>
    <tableColumn id="5" name="Amount" dataDxfId="2952" dataCellStyle="40% - Accent6"/>
  </tableColumns>
  <tableStyleInfo name="TableStyleLight18" showFirstColumn="0" showLastColumn="0" showRowStripes="1" showColumnStripes="0"/>
</table>
</file>

<file path=xl/tables/table433.xml><?xml version="1.0" encoding="utf-8"?>
<table xmlns="http://schemas.openxmlformats.org/spreadsheetml/2006/main" id="433" name="Rehab_54" displayName="Rehab_54" ref="A144:D159" totalsRowShown="0" headerRowDxfId="2951" dataDxfId="2949" headerRowBorderDxfId="2950" tableBorderDxfId="2948" headerRowCellStyle="40% - Accent6">
  <autoFilter ref="A144:D159"/>
  <tableColumns count="4">
    <tableColumn id="1" name="Expense" dataDxfId="2947"/>
    <tableColumn id="2" name="Description" dataDxfId="2946"/>
    <tableColumn id="4" name="Label Name" dataDxfId="2945"/>
    <tableColumn id="5" name="Amount" dataDxfId="2944" dataCellStyle="40% - Accent6"/>
  </tableColumns>
  <tableStyleInfo name="TableStyleLight18" showFirstColumn="0" showLastColumn="0" showRowStripes="1" showColumnStripes="0"/>
</table>
</file>

<file path=xl/tables/table434.xml><?xml version="1.0" encoding="utf-8"?>
<table xmlns="http://schemas.openxmlformats.org/spreadsheetml/2006/main" id="434" name="Grass_55" displayName="Grass_55" ref="A11:D26" totalsRowShown="0" headerRowDxfId="2943" dataDxfId="2941" headerRowBorderDxfId="2942" tableBorderDxfId="2940" headerRowCellStyle="40% - Accent6">
  <autoFilter ref="A11:D26"/>
  <tableColumns count="4">
    <tableColumn id="1" name="Expense" dataDxfId="2939"/>
    <tableColumn id="2" name="Description" dataDxfId="2938"/>
    <tableColumn id="4" name="Label Name" dataDxfId="2937"/>
    <tableColumn id="5" name="Amount" dataDxfId="2936" dataCellStyle="20% - Accent6"/>
  </tableColumns>
  <tableStyleInfo name="TableStyleLight18" showFirstColumn="0" showLastColumn="0" showRowStripes="1" showColumnStripes="0"/>
</table>
</file>

<file path=xl/tables/table435.xml><?xml version="1.0" encoding="utf-8"?>
<table xmlns="http://schemas.openxmlformats.org/spreadsheetml/2006/main" id="435" name="Tree_55" displayName="Tree_55" ref="A30:D45" totalsRowShown="0" headerRowDxfId="2935" dataDxfId="2933" headerRowBorderDxfId="2934" tableBorderDxfId="2932" headerRowCellStyle="40% - Accent6">
  <autoFilter ref="A30:D45"/>
  <tableColumns count="4">
    <tableColumn id="1" name="Expense" dataDxfId="2931"/>
    <tableColumn id="2" name="Description" dataDxfId="2930"/>
    <tableColumn id="4" name="Label Name" dataDxfId="2929"/>
    <tableColumn id="5" name="Amount" dataDxfId="2928" dataCellStyle="40% - Accent6"/>
  </tableColumns>
  <tableStyleInfo name="TableStyleLight18" showFirstColumn="0" showLastColumn="0" showRowStripes="1" showColumnStripes="0"/>
</table>
</file>

<file path=xl/tables/table436.xml><?xml version="1.0" encoding="utf-8"?>
<table xmlns="http://schemas.openxmlformats.org/spreadsheetml/2006/main" id="436" name="Pest_55" displayName="Pest_55" ref="A49:D64" totalsRowShown="0" headerRowDxfId="2927" dataDxfId="2925" headerRowBorderDxfId="2926" tableBorderDxfId="2924" headerRowCellStyle="40% - Accent6">
  <autoFilter ref="A49:D64"/>
  <tableColumns count="4">
    <tableColumn id="1" name="Expense" dataDxfId="2923"/>
    <tableColumn id="2" name="Description" dataDxfId="2922"/>
    <tableColumn id="4" name="Label Name" dataDxfId="2921"/>
    <tableColumn id="5" name="Amount" dataDxfId="2920" dataCellStyle="40% - Accent6"/>
  </tableColumns>
  <tableStyleInfo name="TableStyleLight18" showFirstColumn="0" showLastColumn="0" showRowStripes="1" showColumnStripes="0"/>
</table>
</file>

<file path=xl/tables/table437.xml><?xml version="1.0" encoding="utf-8"?>
<table xmlns="http://schemas.openxmlformats.org/spreadsheetml/2006/main" id="437" name="Garbage_55" displayName="Garbage_55" ref="A68:D83" totalsRowShown="0" headerRowDxfId="2919" dataDxfId="2917" headerRowBorderDxfId="2918" tableBorderDxfId="2916" headerRowCellStyle="40% - Accent6">
  <autoFilter ref="A68:D83"/>
  <tableColumns count="4">
    <tableColumn id="1" name="Expense" dataDxfId="2915"/>
    <tableColumn id="2" name="Description" dataDxfId="2914"/>
    <tableColumn id="4" name="Label Name" dataDxfId="2913"/>
    <tableColumn id="5" name="Amount" dataDxfId="2912" dataCellStyle="20% - Accent6"/>
  </tableColumns>
  <tableStyleInfo name="TableStyleLight18" showFirstColumn="0" showLastColumn="0" showRowStripes="1" showColumnStripes="0"/>
</table>
</file>

<file path=xl/tables/table438.xml><?xml version="1.0" encoding="utf-8"?>
<table xmlns="http://schemas.openxmlformats.org/spreadsheetml/2006/main" id="438" name="Boarding_55" displayName="Boarding_55" ref="A87:D102" totalsRowShown="0" headerRowDxfId="2911" dataDxfId="2909" headerRowBorderDxfId="2910" tableBorderDxfId="2908" headerRowCellStyle="40% - Accent6">
  <autoFilter ref="A87:D102"/>
  <tableColumns count="4">
    <tableColumn id="1" name="Expense" dataDxfId="2907"/>
    <tableColumn id="2" name="Description" dataDxfId="2906"/>
    <tableColumn id="4" name="Label Name" dataDxfId="2905"/>
    <tableColumn id="5" name="Amount" dataDxfId="2904" dataCellStyle="40% - Accent6"/>
  </tableColumns>
  <tableStyleInfo name="TableStyleLight18" showFirstColumn="0" showLastColumn="0" showRowStripes="1" showColumnStripes="0"/>
</table>
</file>

<file path=xl/tables/table439.xml><?xml version="1.0" encoding="utf-8"?>
<table xmlns="http://schemas.openxmlformats.org/spreadsheetml/2006/main" id="439" name="Fence_55" displayName="Fence_55" ref="A106:D121" totalsRowShown="0" headerRowDxfId="2903" dataDxfId="2901" headerRowBorderDxfId="2902" tableBorderDxfId="2900" headerRowCellStyle="40% - Accent6">
  <autoFilter ref="A106:D121"/>
  <tableColumns count="4">
    <tableColumn id="1" name="Expense" dataDxfId="2899"/>
    <tableColumn id="2" name="Description" dataDxfId="2898"/>
    <tableColumn id="4" name="Label Name" dataDxfId="2897"/>
    <tableColumn id="5" name="Amount" dataDxfId="2896" dataCellStyle="40% - Accent6"/>
  </tableColumns>
  <tableStyleInfo name="TableStyleLight18" showFirstColumn="0" showLastColumn="0" showRowStripes="1" showColumnStripes="0"/>
</table>
</file>

<file path=xl/tables/table44.xml><?xml version="1.0" encoding="utf-8"?>
<table xmlns="http://schemas.openxmlformats.org/spreadsheetml/2006/main" id="109" name="Pest_6" displayName="Pest_6" ref="A49:D64" totalsRowShown="0" headerRowDxfId="6063" dataDxfId="6061" headerRowBorderDxfId="6062" tableBorderDxfId="6060" headerRowCellStyle="40% - Accent6">
  <autoFilter ref="A49:D64"/>
  <tableColumns count="4">
    <tableColumn id="1" name="Expense" dataDxfId="6059"/>
    <tableColumn id="2" name="Description" dataDxfId="6058"/>
    <tableColumn id="4" name="Label Name" dataDxfId="6057"/>
    <tableColumn id="5" name="Amount" dataDxfId="6056" dataCellStyle="40% - Accent6"/>
  </tableColumns>
  <tableStyleInfo name="TableStyleLight18" showFirstColumn="0" showLastColumn="0" showRowStripes="1" showColumnStripes="0"/>
</table>
</file>

<file path=xl/tables/table440.xml><?xml version="1.0" encoding="utf-8"?>
<table xmlns="http://schemas.openxmlformats.org/spreadsheetml/2006/main" id="440" name="Demolition_55" displayName="Demolition_55" ref="A125:D140" totalsRowShown="0" headerRowDxfId="2895" dataDxfId="2893" headerRowBorderDxfId="2894" tableBorderDxfId="2892" headerRowCellStyle="40% - Accent6">
  <autoFilter ref="A125:D140"/>
  <tableColumns count="4">
    <tableColumn id="1" name="Expense" dataDxfId="2891"/>
    <tableColumn id="2" name="Description" dataDxfId="2890"/>
    <tableColumn id="4" name="Label Name" dataDxfId="2889"/>
    <tableColumn id="5" name="Amount" dataDxfId="2888" dataCellStyle="40% - Accent6"/>
  </tableColumns>
  <tableStyleInfo name="TableStyleLight18" showFirstColumn="0" showLastColumn="0" showRowStripes="1" showColumnStripes="0"/>
</table>
</file>

<file path=xl/tables/table441.xml><?xml version="1.0" encoding="utf-8"?>
<table xmlns="http://schemas.openxmlformats.org/spreadsheetml/2006/main" id="441" name="Rehab_55" displayName="Rehab_55" ref="A144:D159" totalsRowShown="0" headerRowDxfId="2887" dataDxfId="2885" headerRowBorderDxfId="2886" tableBorderDxfId="2884" headerRowCellStyle="40% - Accent6">
  <autoFilter ref="A144:D159"/>
  <tableColumns count="4">
    <tableColumn id="1" name="Expense" dataDxfId="2883"/>
    <tableColumn id="2" name="Description" dataDxfId="2882"/>
    <tableColumn id="4" name="Label Name" dataDxfId="2881"/>
    <tableColumn id="5" name="Amount" dataDxfId="2880" dataCellStyle="40% - Accent6"/>
  </tableColumns>
  <tableStyleInfo name="TableStyleLight18" showFirstColumn="0" showLastColumn="0" showRowStripes="1" showColumnStripes="0"/>
</table>
</file>

<file path=xl/tables/table442.xml><?xml version="1.0" encoding="utf-8"?>
<table xmlns="http://schemas.openxmlformats.org/spreadsheetml/2006/main" id="442" name="Grass_56" displayName="Grass_56" ref="A11:D26" totalsRowShown="0" headerRowDxfId="2879" dataDxfId="2877" headerRowBorderDxfId="2878" tableBorderDxfId="2876" headerRowCellStyle="40% - Accent6">
  <autoFilter ref="A11:D26"/>
  <tableColumns count="4">
    <tableColumn id="1" name="Expense" dataDxfId="2875"/>
    <tableColumn id="2" name="Description" dataDxfId="2874"/>
    <tableColumn id="4" name="Label Name" dataDxfId="2873"/>
    <tableColumn id="5" name="Amount" dataDxfId="2872" dataCellStyle="20% - Accent6"/>
  </tableColumns>
  <tableStyleInfo name="TableStyleLight18" showFirstColumn="0" showLastColumn="0" showRowStripes="1" showColumnStripes="0"/>
</table>
</file>

<file path=xl/tables/table443.xml><?xml version="1.0" encoding="utf-8"?>
<table xmlns="http://schemas.openxmlformats.org/spreadsheetml/2006/main" id="443" name="Tree_56" displayName="Tree_56" ref="A30:D45" totalsRowShown="0" headerRowDxfId="2871" dataDxfId="2869" headerRowBorderDxfId="2870" tableBorderDxfId="2868" headerRowCellStyle="40% - Accent6">
  <autoFilter ref="A30:D45"/>
  <tableColumns count="4">
    <tableColumn id="1" name="Expense" dataDxfId="2867"/>
    <tableColumn id="2" name="Description" dataDxfId="2866"/>
    <tableColumn id="4" name="Label Name" dataDxfId="2865"/>
    <tableColumn id="5" name="Amount" dataDxfId="2864" dataCellStyle="40% - Accent6"/>
  </tableColumns>
  <tableStyleInfo name="TableStyleLight18" showFirstColumn="0" showLastColumn="0" showRowStripes="1" showColumnStripes="0"/>
</table>
</file>

<file path=xl/tables/table444.xml><?xml version="1.0" encoding="utf-8"?>
<table xmlns="http://schemas.openxmlformats.org/spreadsheetml/2006/main" id="444" name="Pest_56" displayName="Pest_56" ref="A49:D64" totalsRowShown="0" headerRowDxfId="2863" dataDxfId="2861" headerRowBorderDxfId="2862" tableBorderDxfId="2860" headerRowCellStyle="40% - Accent6">
  <autoFilter ref="A49:D64"/>
  <tableColumns count="4">
    <tableColumn id="1" name="Expense" dataDxfId="2859"/>
    <tableColumn id="2" name="Description" dataDxfId="2858"/>
    <tableColumn id="4" name="Label Name" dataDxfId="2857"/>
    <tableColumn id="5" name="Amount" dataDxfId="2856" dataCellStyle="40% - Accent6"/>
  </tableColumns>
  <tableStyleInfo name="TableStyleLight18" showFirstColumn="0" showLastColumn="0" showRowStripes="1" showColumnStripes="0"/>
</table>
</file>

<file path=xl/tables/table445.xml><?xml version="1.0" encoding="utf-8"?>
<table xmlns="http://schemas.openxmlformats.org/spreadsheetml/2006/main" id="445" name="Garbage_56" displayName="Garbage_56" ref="A68:D83" totalsRowShown="0" headerRowDxfId="2855" dataDxfId="2853" headerRowBorderDxfId="2854" tableBorderDxfId="2852" headerRowCellStyle="40% - Accent6">
  <autoFilter ref="A68:D83"/>
  <tableColumns count="4">
    <tableColumn id="1" name="Expense" dataDxfId="2851"/>
    <tableColumn id="2" name="Description" dataDxfId="2850"/>
    <tableColumn id="4" name="Label Name" dataDxfId="2849"/>
    <tableColumn id="5" name="Amount" dataDxfId="2848" dataCellStyle="20% - Accent6"/>
  </tableColumns>
  <tableStyleInfo name="TableStyleLight18" showFirstColumn="0" showLastColumn="0" showRowStripes="1" showColumnStripes="0"/>
</table>
</file>

<file path=xl/tables/table446.xml><?xml version="1.0" encoding="utf-8"?>
<table xmlns="http://schemas.openxmlformats.org/spreadsheetml/2006/main" id="446" name="Boarding_56" displayName="Boarding_56" ref="A87:D102" totalsRowShown="0" headerRowDxfId="2847" dataDxfId="2845" headerRowBorderDxfId="2846" tableBorderDxfId="2844" headerRowCellStyle="40% - Accent6">
  <autoFilter ref="A87:D102"/>
  <tableColumns count="4">
    <tableColumn id="1" name="Expense" dataDxfId="2843"/>
    <tableColumn id="2" name="Description" dataDxfId="2842"/>
    <tableColumn id="4" name="Label Name" dataDxfId="2841"/>
    <tableColumn id="5" name="Amount" dataDxfId="2840" dataCellStyle="40% - Accent6"/>
  </tableColumns>
  <tableStyleInfo name="TableStyleLight18" showFirstColumn="0" showLastColumn="0" showRowStripes="1" showColumnStripes="0"/>
</table>
</file>

<file path=xl/tables/table447.xml><?xml version="1.0" encoding="utf-8"?>
<table xmlns="http://schemas.openxmlformats.org/spreadsheetml/2006/main" id="447" name="Fence_56" displayName="Fence_56" ref="A106:D121" totalsRowShown="0" headerRowDxfId="2839" dataDxfId="2837" headerRowBorderDxfId="2838" tableBorderDxfId="2836" headerRowCellStyle="40% - Accent6">
  <autoFilter ref="A106:D121"/>
  <tableColumns count="4">
    <tableColumn id="1" name="Expense" dataDxfId="2835"/>
    <tableColumn id="2" name="Description" dataDxfId="2834"/>
    <tableColumn id="4" name="Label Name" dataDxfId="2833"/>
    <tableColumn id="5" name="Amount" dataDxfId="2832" dataCellStyle="40% - Accent6"/>
  </tableColumns>
  <tableStyleInfo name="TableStyleLight18" showFirstColumn="0" showLastColumn="0" showRowStripes="1" showColumnStripes="0"/>
</table>
</file>

<file path=xl/tables/table448.xml><?xml version="1.0" encoding="utf-8"?>
<table xmlns="http://schemas.openxmlformats.org/spreadsheetml/2006/main" id="448" name="Demolition_56" displayName="Demolition_56" ref="A125:D140" totalsRowShown="0" headerRowDxfId="2831" dataDxfId="2829" headerRowBorderDxfId="2830" tableBorderDxfId="2828" headerRowCellStyle="40% - Accent6">
  <autoFilter ref="A125:D140"/>
  <tableColumns count="4">
    <tableColumn id="1" name="Expense" dataDxfId="2827"/>
    <tableColumn id="2" name="Description" dataDxfId="2826"/>
    <tableColumn id="4" name="Label Name" dataDxfId="2825"/>
    <tableColumn id="5" name="Amount" dataDxfId="2824" dataCellStyle="40% - Accent6"/>
  </tableColumns>
  <tableStyleInfo name="TableStyleLight18" showFirstColumn="0" showLastColumn="0" showRowStripes="1" showColumnStripes="0"/>
</table>
</file>

<file path=xl/tables/table449.xml><?xml version="1.0" encoding="utf-8"?>
<table xmlns="http://schemas.openxmlformats.org/spreadsheetml/2006/main" id="449" name="Rehab_56" displayName="Rehab_56" ref="A144:D159" totalsRowShown="0" headerRowDxfId="2823" dataDxfId="2821" headerRowBorderDxfId="2822" tableBorderDxfId="2820" headerRowCellStyle="40% - Accent6">
  <autoFilter ref="A144:D159"/>
  <tableColumns count="4">
    <tableColumn id="1" name="Expense" dataDxfId="2819"/>
    <tableColumn id="2" name="Description" dataDxfId="2818"/>
    <tableColumn id="4" name="Label Name" dataDxfId="2817"/>
    <tableColumn id="5" name="Amount" dataDxfId="2816" dataCellStyle="40% - Accent6"/>
  </tableColumns>
  <tableStyleInfo name="TableStyleLight18" showFirstColumn="0" showLastColumn="0" showRowStripes="1" showColumnStripes="0"/>
</table>
</file>

<file path=xl/tables/table45.xml><?xml version="1.0" encoding="utf-8"?>
<table xmlns="http://schemas.openxmlformats.org/spreadsheetml/2006/main" id="110" name="Garbage_6" displayName="Garbage_6" ref="A68:D83" totalsRowShown="0" headerRowDxfId="6055" dataDxfId="6053" headerRowBorderDxfId="6054" tableBorderDxfId="6052" headerRowCellStyle="40% - Accent6">
  <autoFilter ref="A68:D83"/>
  <tableColumns count="4">
    <tableColumn id="1" name="Expense" dataDxfId="6051"/>
    <tableColumn id="2" name="Description" dataDxfId="6050"/>
    <tableColumn id="4" name="Label Name" dataDxfId="6049"/>
    <tableColumn id="5" name="Amount" dataDxfId="6048" dataCellStyle="20% - Accent6"/>
  </tableColumns>
  <tableStyleInfo name="TableStyleLight18" showFirstColumn="0" showLastColumn="0" showRowStripes="1" showColumnStripes="0"/>
</table>
</file>

<file path=xl/tables/table450.xml><?xml version="1.0" encoding="utf-8"?>
<table xmlns="http://schemas.openxmlformats.org/spreadsheetml/2006/main" id="450" name="Grass_57" displayName="Grass_57" ref="A11:D26" totalsRowShown="0" headerRowDxfId="2815" dataDxfId="2813" headerRowBorderDxfId="2814" tableBorderDxfId="2812" headerRowCellStyle="40% - Accent6">
  <autoFilter ref="A11:D26"/>
  <tableColumns count="4">
    <tableColumn id="1" name="Expense" dataDxfId="2811"/>
    <tableColumn id="2" name="Description" dataDxfId="2810"/>
    <tableColumn id="4" name="Label Name" dataDxfId="2809"/>
    <tableColumn id="5" name="Amount" dataDxfId="2808" dataCellStyle="20% - Accent6"/>
  </tableColumns>
  <tableStyleInfo name="TableStyleLight18" showFirstColumn="0" showLastColumn="0" showRowStripes="1" showColumnStripes="0"/>
</table>
</file>

<file path=xl/tables/table451.xml><?xml version="1.0" encoding="utf-8"?>
<table xmlns="http://schemas.openxmlformats.org/spreadsheetml/2006/main" id="451" name="Tree_57" displayName="Tree_57" ref="A30:D45" totalsRowShown="0" headerRowDxfId="2807" dataDxfId="2805" headerRowBorderDxfId="2806" tableBorderDxfId="2804" headerRowCellStyle="40% - Accent6">
  <autoFilter ref="A30:D45"/>
  <tableColumns count="4">
    <tableColumn id="1" name="Expense" dataDxfId="2803"/>
    <tableColumn id="2" name="Description" dataDxfId="2802"/>
    <tableColumn id="4" name="Label Name" dataDxfId="2801"/>
    <tableColumn id="5" name="Amount" dataDxfId="2800" dataCellStyle="40% - Accent6"/>
  </tableColumns>
  <tableStyleInfo name="TableStyleLight18" showFirstColumn="0" showLastColumn="0" showRowStripes="1" showColumnStripes="0"/>
</table>
</file>

<file path=xl/tables/table452.xml><?xml version="1.0" encoding="utf-8"?>
<table xmlns="http://schemas.openxmlformats.org/spreadsheetml/2006/main" id="452" name="Pest_57" displayName="Pest_57" ref="A49:D64" totalsRowShown="0" headerRowDxfId="2799" dataDxfId="2797" headerRowBorderDxfId="2798" tableBorderDxfId="2796" headerRowCellStyle="40% - Accent6">
  <autoFilter ref="A49:D64"/>
  <tableColumns count="4">
    <tableColumn id="1" name="Expense" dataDxfId="2795"/>
    <tableColumn id="2" name="Description" dataDxfId="2794"/>
    <tableColumn id="4" name="Label Name" dataDxfId="2793"/>
    <tableColumn id="5" name="Amount" dataDxfId="2792" dataCellStyle="40% - Accent6"/>
  </tableColumns>
  <tableStyleInfo name="TableStyleLight18" showFirstColumn="0" showLastColumn="0" showRowStripes="1" showColumnStripes="0"/>
</table>
</file>

<file path=xl/tables/table453.xml><?xml version="1.0" encoding="utf-8"?>
<table xmlns="http://schemas.openxmlformats.org/spreadsheetml/2006/main" id="453" name="Garbage_57" displayName="Garbage_57" ref="A68:D83" totalsRowShown="0" headerRowDxfId="2791" dataDxfId="2789" headerRowBorderDxfId="2790" tableBorderDxfId="2788" headerRowCellStyle="40% - Accent6">
  <autoFilter ref="A68:D83"/>
  <tableColumns count="4">
    <tableColumn id="1" name="Expense" dataDxfId="2787"/>
    <tableColumn id="2" name="Description" dataDxfId="2786"/>
    <tableColumn id="4" name="Label Name" dataDxfId="2785"/>
    <tableColumn id="5" name="Amount" dataDxfId="2784" dataCellStyle="20% - Accent6"/>
  </tableColumns>
  <tableStyleInfo name="TableStyleLight18" showFirstColumn="0" showLastColumn="0" showRowStripes="1" showColumnStripes="0"/>
</table>
</file>

<file path=xl/tables/table454.xml><?xml version="1.0" encoding="utf-8"?>
<table xmlns="http://schemas.openxmlformats.org/spreadsheetml/2006/main" id="454" name="Boarding_57" displayName="Boarding_57" ref="A87:D102" totalsRowShown="0" headerRowDxfId="2783" dataDxfId="2781" headerRowBorderDxfId="2782" tableBorderDxfId="2780" headerRowCellStyle="40% - Accent6">
  <autoFilter ref="A87:D102"/>
  <tableColumns count="4">
    <tableColumn id="1" name="Expense" dataDxfId="2779"/>
    <tableColumn id="2" name="Description" dataDxfId="2778"/>
    <tableColumn id="4" name="Label Name" dataDxfId="2777"/>
    <tableColumn id="5" name="Amount" dataDxfId="2776" dataCellStyle="40% - Accent6"/>
  </tableColumns>
  <tableStyleInfo name="TableStyleLight18" showFirstColumn="0" showLastColumn="0" showRowStripes="1" showColumnStripes="0"/>
</table>
</file>

<file path=xl/tables/table455.xml><?xml version="1.0" encoding="utf-8"?>
<table xmlns="http://schemas.openxmlformats.org/spreadsheetml/2006/main" id="455" name="Fence_57" displayName="Fence_57" ref="A106:D121" totalsRowShown="0" headerRowDxfId="2775" dataDxfId="2773" headerRowBorderDxfId="2774" tableBorderDxfId="2772" headerRowCellStyle="40% - Accent6">
  <autoFilter ref="A106:D121"/>
  <tableColumns count="4">
    <tableColumn id="1" name="Expense" dataDxfId="2771"/>
    <tableColumn id="2" name="Description" dataDxfId="2770"/>
    <tableColumn id="4" name="Label Name" dataDxfId="2769"/>
    <tableColumn id="5" name="Amount" dataDxfId="2768" dataCellStyle="40% - Accent6"/>
  </tableColumns>
  <tableStyleInfo name="TableStyleLight18" showFirstColumn="0" showLastColumn="0" showRowStripes="1" showColumnStripes="0"/>
</table>
</file>

<file path=xl/tables/table456.xml><?xml version="1.0" encoding="utf-8"?>
<table xmlns="http://schemas.openxmlformats.org/spreadsheetml/2006/main" id="456" name="Demolition_57" displayName="Demolition_57" ref="A125:D140" totalsRowShown="0" headerRowDxfId="2767" dataDxfId="2765" headerRowBorderDxfId="2766" tableBorderDxfId="2764" headerRowCellStyle="40% - Accent6">
  <autoFilter ref="A125:D140"/>
  <tableColumns count="4">
    <tableColumn id="1" name="Expense" dataDxfId="2763"/>
    <tableColumn id="2" name="Description" dataDxfId="2762"/>
    <tableColumn id="4" name="Label Name" dataDxfId="2761"/>
    <tableColumn id="5" name="Amount" dataDxfId="2760" dataCellStyle="40% - Accent6"/>
  </tableColumns>
  <tableStyleInfo name="TableStyleLight18" showFirstColumn="0" showLastColumn="0" showRowStripes="1" showColumnStripes="0"/>
</table>
</file>

<file path=xl/tables/table457.xml><?xml version="1.0" encoding="utf-8"?>
<table xmlns="http://schemas.openxmlformats.org/spreadsheetml/2006/main" id="457" name="Rehab_57" displayName="Rehab_57" ref="A144:D159" totalsRowShown="0" headerRowDxfId="2759" dataDxfId="2757" headerRowBorderDxfId="2758" tableBorderDxfId="2756" headerRowCellStyle="40% - Accent6">
  <autoFilter ref="A144:D159"/>
  <tableColumns count="4">
    <tableColumn id="1" name="Expense" dataDxfId="2755"/>
    <tableColumn id="2" name="Description" dataDxfId="2754"/>
    <tableColumn id="4" name="Label Name" dataDxfId="2753"/>
    <tableColumn id="5" name="Amount" dataDxfId="2752" dataCellStyle="40% - Accent6"/>
  </tableColumns>
  <tableStyleInfo name="TableStyleLight18" showFirstColumn="0" showLastColumn="0" showRowStripes="1" showColumnStripes="0"/>
</table>
</file>

<file path=xl/tables/table458.xml><?xml version="1.0" encoding="utf-8"?>
<table xmlns="http://schemas.openxmlformats.org/spreadsheetml/2006/main" id="466" name="Grass_58" displayName="Grass_58" ref="A11:D26" totalsRowShown="0" headerRowDxfId="2751" dataDxfId="2749" headerRowBorderDxfId="2750" tableBorderDxfId="2748" headerRowCellStyle="40% - Accent6">
  <autoFilter ref="A11:D26"/>
  <tableColumns count="4">
    <tableColumn id="1" name="Expense" dataDxfId="2747"/>
    <tableColumn id="2" name="Description" dataDxfId="2746"/>
    <tableColumn id="4" name="Label Name" dataDxfId="2745"/>
    <tableColumn id="5" name="Amount" dataDxfId="2744" dataCellStyle="20% - Accent6"/>
  </tableColumns>
  <tableStyleInfo name="TableStyleLight18" showFirstColumn="0" showLastColumn="0" showRowStripes="1" showColumnStripes="0"/>
</table>
</file>

<file path=xl/tables/table459.xml><?xml version="1.0" encoding="utf-8"?>
<table xmlns="http://schemas.openxmlformats.org/spreadsheetml/2006/main" id="467" name="Tree_58" displayName="Tree_58" ref="A30:D45" totalsRowShown="0" headerRowDxfId="2743" dataDxfId="2741" headerRowBorderDxfId="2742" tableBorderDxfId="2740" headerRowCellStyle="40% - Accent6">
  <autoFilter ref="A30:D45"/>
  <tableColumns count="4">
    <tableColumn id="1" name="Expense" dataDxfId="2739"/>
    <tableColumn id="2" name="Description" dataDxfId="2738"/>
    <tableColumn id="4" name="Label Name" dataDxfId="2737"/>
    <tableColumn id="5" name="Amount" dataDxfId="2736" dataCellStyle="40% - Accent6"/>
  </tableColumns>
  <tableStyleInfo name="TableStyleLight18" showFirstColumn="0" showLastColumn="0" showRowStripes="1" showColumnStripes="0"/>
</table>
</file>

<file path=xl/tables/table46.xml><?xml version="1.0" encoding="utf-8"?>
<table xmlns="http://schemas.openxmlformats.org/spreadsheetml/2006/main" id="111" name="Boarding_6" displayName="Boarding_6" ref="A87:D102" totalsRowShown="0" headerRowDxfId="6047" dataDxfId="6045" headerRowBorderDxfId="6046" tableBorderDxfId="6044" headerRowCellStyle="40% - Accent6">
  <autoFilter ref="A87:D102"/>
  <tableColumns count="4">
    <tableColumn id="1" name="Expense" dataDxfId="6043"/>
    <tableColumn id="2" name="Description" dataDxfId="6042"/>
    <tableColumn id="4" name="Label Name" dataDxfId="6041"/>
    <tableColumn id="5" name="Amount" dataDxfId="6040" dataCellStyle="40% - Accent6"/>
  </tableColumns>
  <tableStyleInfo name="TableStyleLight18" showFirstColumn="0" showLastColumn="0" showRowStripes="1" showColumnStripes="0"/>
</table>
</file>

<file path=xl/tables/table460.xml><?xml version="1.0" encoding="utf-8"?>
<table xmlns="http://schemas.openxmlformats.org/spreadsheetml/2006/main" id="468" name="Pest_58" displayName="Pest_58" ref="A49:D64" totalsRowShown="0" headerRowDxfId="2735" dataDxfId="2733" headerRowBorderDxfId="2734" tableBorderDxfId="2732" headerRowCellStyle="40% - Accent6">
  <autoFilter ref="A49:D64"/>
  <tableColumns count="4">
    <tableColumn id="1" name="Expense" dataDxfId="2731"/>
    <tableColumn id="2" name="Description" dataDxfId="2730"/>
    <tableColumn id="4" name="Label Name" dataDxfId="2729"/>
    <tableColumn id="5" name="Amount" dataDxfId="2728" dataCellStyle="40% - Accent6"/>
  </tableColumns>
  <tableStyleInfo name="TableStyleLight18" showFirstColumn="0" showLastColumn="0" showRowStripes="1" showColumnStripes="0"/>
</table>
</file>

<file path=xl/tables/table461.xml><?xml version="1.0" encoding="utf-8"?>
<table xmlns="http://schemas.openxmlformats.org/spreadsheetml/2006/main" id="469" name="Garbage_58" displayName="Garbage_58" ref="A68:D83" totalsRowShown="0" headerRowDxfId="2727" dataDxfId="2725" headerRowBorderDxfId="2726" tableBorderDxfId="2724" headerRowCellStyle="40% - Accent6">
  <autoFilter ref="A68:D83"/>
  <tableColumns count="4">
    <tableColumn id="1" name="Expense" dataDxfId="2723"/>
    <tableColumn id="2" name="Description" dataDxfId="2722"/>
    <tableColumn id="4" name="Label Name" dataDxfId="2721"/>
    <tableColumn id="5" name="Amount" dataDxfId="2720" dataCellStyle="20% - Accent6"/>
  </tableColumns>
  <tableStyleInfo name="TableStyleLight18" showFirstColumn="0" showLastColumn="0" showRowStripes="1" showColumnStripes="0"/>
</table>
</file>

<file path=xl/tables/table462.xml><?xml version="1.0" encoding="utf-8"?>
<table xmlns="http://schemas.openxmlformats.org/spreadsheetml/2006/main" id="470" name="Boarding_58" displayName="Boarding_58" ref="A87:D102" totalsRowShown="0" headerRowDxfId="2719" dataDxfId="2717" headerRowBorderDxfId="2718" tableBorderDxfId="2716" headerRowCellStyle="40% - Accent6">
  <autoFilter ref="A87:D102"/>
  <tableColumns count="4">
    <tableColumn id="1" name="Expense" dataDxfId="2715"/>
    <tableColumn id="2" name="Description" dataDxfId="2714"/>
    <tableColumn id="4" name="Label Name" dataDxfId="2713"/>
    <tableColumn id="5" name="Amount" dataDxfId="2712" dataCellStyle="40% - Accent6"/>
  </tableColumns>
  <tableStyleInfo name="TableStyleLight18" showFirstColumn="0" showLastColumn="0" showRowStripes="1" showColumnStripes="0"/>
</table>
</file>

<file path=xl/tables/table463.xml><?xml version="1.0" encoding="utf-8"?>
<table xmlns="http://schemas.openxmlformats.org/spreadsheetml/2006/main" id="471" name="Fence_58" displayName="Fence_58" ref="A106:D121" totalsRowShown="0" headerRowDxfId="2711" dataDxfId="2709" headerRowBorderDxfId="2710" tableBorderDxfId="2708" headerRowCellStyle="40% - Accent6">
  <autoFilter ref="A106:D121"/>
  <tableColumns count="4">
    <tableColumn id="1" name="Expense" dataDxfId="2707"/>
    <tableColumn id="2" name="Description" dataDxfId="2706"/>
    <tableColumn id="4" name="Label Name" dataDxfId="2705"/>
    <tableColumn id="5" name="Amount" dataDxfId="2704" dataCellStyle="40% - Accent6"/>
  </tableColumns>
  <tableStyleInfo name="TableStyleLight18" showFirstColumn="0" showLastColumn="0" showRowStripes="1" showColumnStripes="0"/>
</table>
</file>

<file path=xl/tables/table464.xml><?xml version="1.0" encoding="utf-8"?>
<table xmlns="http://schemas.openxmlformats.org/spreadsheetml/2006/main" id="472" name="Demolition_58" displayName="Demolition_58" ref="A125:D140" totalsRowShown="0" headerRowDxfId="2703" dataDxfId="2701" headerRowBorderDxfId="2702" tableBorderDxfId="2700" headerRowCellStyle="40% - Accent6">
  <autoFilter ref="A125:D140"/>
  <tableColumns count="4">
    <tableColumn id="1" name="Expense" dataDxfId="2699"/>
    <tableColumn id="2" name="Description" dataDxfId="2698"/>
    <tableColumn id="4" name="Label Name" dataDxfId="2697"/>
    <tableColumn id="5" name="Amount" dataDxfId="2696" dataCellStyle="40% - Accent6"/>
  </tableColumns>
  <tableStyleInfo name="TableStyleLight18" showFirstColumn="0" showLastColumn="0" showRowStripes="1" showColumnStripes="0"/>
</table>
</file>

<file path=xl/tables/table465.xml><?xml version="1.0" encoding="utf-8"?>
<table xmlns="http://schemas.openxmlformats.org/spreadsheetml/2006/main" id="473" name="Rehab_58" displayName="Rehab_58" ref="A144:D159" totalsRowShown="0" headerRowDxfId="2695" dataDxfId="2693" headerRowBorderDxfId="2694" tableBorderDxfId="2692" headerRowCellStyle="40% - Accent6">
  <autoFilter ref="A144:D159"/>
  <tableColumns count="4">
    <tableColumn id="1" name="Expense" dataDxfId="2691"/>
    <tableColumn id="2" name="Description" dataDxfId="2690"/>
    <tableColumn id="4" name="Label Name" dataDxfId="2689"/>
    <tableColumn id="5" name="Amount" dataDxfId="2688" dataCellStyle="40% - Accent6"/>
  </tableColumns>
  <tableStyleInfo name="TableStyleLight18" showFirstColumn="0" showLastColumn="0" showRowStripes="1" showColumnStripes="0"/>
</table>
</file>

<file path=xl/tables/table466.xml><?xml version="1.0" encoding="utf-8"?>
<table xmlns="http://schemas.openxmlformats.org/spreadsheetml/2006/main" id="458" name="Grass_59" displayName="Grass_59" ref="A11:D26" totalsRowShown="0" headerRowDxfId="2687" dataDxfId="2685" headerRowBorderDxfId="2686" tableBorderDxfId="2684" headerRowCellStyle="40% - Accent6">
  <autoFilter ref="A11:D26"/>
  <tableColumns count="4">
    <tableColumn id="1" name="Expense" dataDxfId="2683"/>
    <tableColumn id="2" name="Description" dataDxfId="2682"/>
    <tableColumn id="4" name="Label Name" dataDxfId="2681"/>
    <tableColumn id="5" name="Amount" dataDxfId="2680" dataCellStyle="20% - Accent6"/>
  </tableColumns>
  <tableStyleInfo name="TableStyleLight18" showFirstColumn="0" showLastColumn="0" showRowStripes="1" showColumnStripes="0"/>
</table>
</file>

<file path=xl/tables/table467.xml><?xml version="1.0" encoding="utf-8"?>
<table xmlns="http://schemas.openxmlformats.org/spreadsheetml/2006/main" id="459" name="Tree_59" displayName="Tree_59" ref="A30:D45" totalsRowShown="0" headerRowDxfId="2679" dataDxfId="2677" headerRowBorderDxfId="2678" tableBorderDxfId="2676" headerRowCellStyle="40% - Accent6">
  <autoFilter ref="A30:D45"/>
  <tableColumns count="4">
    <tableColumn id="1" name="Expense" dataDxfId="2675"/>
    <tableColumn id="2" name="Description" dataDxfId="2674"/>
    <tableColumn id="4" name="Label Name" dataDxfId="2673"/>
    <tableColumn id="5" name="Amount" dataDxfId="2672" dataCellStyle="40% - Accent6"/>
  </tableColumns>
  <tableStyleInfo name="TableStyleLight18" showFirstColumn="0" showLastColumn="0" showRowStripes="1" showColumnStripes="0"/>
</table>
</file>

<file path=xl/tables/table468.xml><?xml version="1.0" encoding="utf-8"?>
<table xmlns="http://schemas.openxmlformats.org/spreadsheetml/2006/main" id="460" name="Pest_59" displayName="Pest_59" ref="A49:D64" totalsRowShown="0" headerRowDxfId="2671" dataDxfId="2669" headerRowBorderDxfId="2670" tableBorderDxfId="2668" headerRowCellStyle="40% - Accent6">
  <autoFilter ref="A49:D64"/>
  <tableColumns count="4">
    <tableColumn id="1" name="Expense" dataDxfId="2667"/>
    <tableColumn id="2" name="Description" dataDxfId="2666"/>
    <tableColumn id="4" name="Label Name" dataDxfId="2665"/>
    <tableColumn id="5" name="Amount" dataDxfId="2664" dataCellStyle="40% - Accent6"/>
  </tableColumns>
  <tableStyleInfo name="TableStyleLight18" showFirstColumn="0" showLastColumn="0" showRowStripes="1" showColumnStripes="0"/>
</table>
</file>

<file path=xl/tables/table469.xml><?xml version="1.0" encoding="utf-8"?>
<table xmlns="http://schemas.openxmlformats.org/spreadsheetml/2006/main" id="461" name="Garbage_59" displayName="Garbage_59" ref="A68:D83" totalsRowShown="0" headerRowDxfId="2663" dataDxfId="2661" headerRowBorderDxfId="2662" tableBorderDxfId="2660" headerRowCellStyle="40% - Accent6">
  <autoFilter ref="A68:D83"/>
  <tableColumns count="4">
    <tableColumn id="1" name="Expense" dataDxfId="2659"/>
    <tableColumn id="2" name="Description" dataDxfId="2658"/>
    <tableColumn id="4" name="Label Name" dataDxfId="2657"/>
    <tableColumn id="5" name="Amount" dataDxfId="2656" dataCellStyle="20% - Accent6"/>
  </tableColumns>
  <tableStyleInfo name="TableStyleLight18" showFirstColumn="0" showLastColumn="0" showRowStripes="1" showColumnStripes="0"/>
</table>
</file>

<file path=xl/tables/table47.xml><?xml version="1.0" encoding="utf-8"?>
<table xmlns="http://schemas.openxmlformats.org/spreadsheetml/2006/main" id="112" name="Fence_6" displayName="Fence_6" ref="A106:D121" totalsRowShown="0" headerRowDxfId="6039" dataDxfId="6037" headerRowBorderDxfId="6038" tableBorderDxfId="6036" headerRowCellStyle="40% - Accent6">
  <autoFilter ref="A106:D121"/>
  <tableColumns count="4">
    <tableColumn id="1" name="Expense" dataDxfId="6035"/>
    <tableColumn id="2" name="Description" dataDxfId="6034"/>
    <tableColumn id="4" name="Label Name" dataDxfId="6033"/>
    <tableColumn id="5" name="Amount" dataDxfId="6032" dataCellStyle="40% - Accent6"/>
  </tableColumns>
  <tableStyleInfo name="TableStyleLight18" showFirstColumn="0" showLastColumn="0" showRowStripes="1" showColumnStripes="0"/>
</table>
</file>

<file path=xl/tables/table470.xml><?xml version="1.0" encoding="utf-8"?>
<table xmlns="http://schemas.openxmlformats.org/spreadsheetml/2006/main" id="462" name="Boarding_59" displayName="Boarding_59" ref="A87:D102" totalsRowShown="0" headerRowDxfId="2655" dataDxfId="2653" headerRowBorderDxfId="2654" tableBorderDxfId="2652" headerRowCellStyle="40% - Accent6">
  <autoFilter ref="A87:D102"/>
  <tableColumns count="4">
    <tableColumn id="1" name="Expense" dataDxfId="2651"/>
    <tableColumn id="2" name="Description" dataDxfId="2650"/>
    <tableColumn id="4" name="Label Name" dataDxfId="2649"/>
    <tableColumn id="5" name="Amount" dataDxfId="2648" dataCellStyle="40% - Accent6"/>
  </tableColumns>
  <tableStyleInfo name="TableStyleLight18" showFirstColumn="0" showLastColumn="0" showRowStripes="1" showColumnStripes="0"/>
</table>
</file>

<file path=xl/tables/table471.xml><?xml version="1.0" encoding="utf-8"?>
<table xmlns="http://schemas.openxmlformats.org/spreadsheetml/2006/main" id="463" name="Fence_59" displayName="Fence_59" ref="A106:D121" totalsRowShown="0" headerRowDxfId="2647" dataDxfId="2645" headerRowBorderDxfId="2646" tableBorderDxfId="2644" headerRowCellStyle="40% - Accent6">
  <autoFilter ref="A106:D121"/>
  <tableColumns count="4">
    <tableColumn id="1" name="Expense" dataDxfId="2643"/>
    <tableColumn id="2" name="Description" dataDxfId="2642"/>
    <tableColumn id="4" name="Label Name" dataDxfId="2641"/>
    <tableColumn id="5" name="Amount" dataDxfId="2640" dataCellStyle="40% - Accent6"/>
  </tableColumns>
  <tableStyleInfo name="TableStyleLight18" showFirstColumn="0" showLastColumn="0" showRowStripes="1" showColumnStripes="0"/>
</table>
</file>

<file path=xl/tables/table472.xml><?xml version="1.0" encoding="utf-8"?>
<table xmlns="http://schemas.openxmlformats.org/spreadsheetml/2006/main" id="464" name="Demolition_59" displayName="Demolition_59" ref="A125:D140" totalsRowShown="0" headerRowDxfId="2639" dataDxfId="2637" headerRowBorderDxfId="2638" tableBorderDxfId="2636" headerRowCellStyle="40% - Accent6">
  <autoFilter ref="A125:D140"/>
  <tableColumns count="4">
    <tableColumn id="1" name="Expense" dataDxfId="2635"/>
    <tableColumn id="2" name="Description" dataDxfId="2634"/>
    <tableColumn id="4" name="Label Name" dataDxfId="2633"/>
    <tableColumn id="5" name="Amount" dataDxfId="2632" dataCellStyle="40% - Accent6"/>
  </tableColumns>
  <tableStyleInfo name="TableStyleLight18" showFirstColumn="0" showLastColumn="0" showRowStripes="1" showColumnStripes="0"/>
</table>
</file>

<file path=xl/tables/table473.xml><?xml version="1.0" encoding="utf-8"?>
<table xmlns="http://schemas.openxmlformats.org/spreadsheetml/2006/main" id="465" name="Rehab_59" displayName="Rehab_59" ref="A144:D159" totalsRowShown="0" headerRowDxfId="2631" dataDxfId="2629" headerRowBorderDxfId="2630" tableBorderDxfId="2628" headerRowCellStyle="40% - Accent6">
  <autoFilter ref="A144:D159"/>
  <tableColumns count="4">
    <tableColumn id="1" name="Expense" dataDxfId="2627"/>
    <tableColumn id="2" name="Description" dataDxfId="2626"/>
    <tableColumn id="4" name="Label Name" dataDxfId="2625"/>
    <tableColumn id="5" name="Amount" dataDxfId="2624" dataCellStyle="40% - Accent6"/>
  </tableColumns>
  <tableStyleInfo name="TableStyleLight18" showFirstColumn="0" showLastColumn="0" showRowStripes="1" showColumnStripes="0"/>
</table>
</file>

<file path=xl/tables/table474.xml><?xml version="1.0" encoding="utf-8"?>
<table xmlns="http://schemas.openxmlformats.org/spreadsheetml/2006/main" id="474" name="Grass_60" displayName="Grass_60" ref="A11:D26" totalsRowShown="0" headerRowDxfId="2623" dataDxfId="2621" headerRowBorderDxfId="2622" tableBorderDxfId="2620" headerRowCellStyle="40% - Accent6">
  <autoFilter ref="A11:D26"/>
  <tableColumns count="4">
    <tableColumn id="1" name="Expense" dataDxfId="2619"/>
    <tableColumn id="2" name="Description" dataDxfId="2618"/>
    <tableColumn id="4" name="Label Name" dataDxfId="2617"/>
    <tableColumn id="5" name="Amount" dataDxfId="2616" dataCellStyle="20% - Accent6"/>
  </tableColumns>
  <tableStyleInfo name="TableStyleLight18" showFirstColumn="0" showLastColumn="0" showRowStripes="1" showColumnStripes="0"/>
</table>
</file>

<file path=xl/tables/table475.xml><?xml version="1.0" encoding="utf-8"?>
<table xmlns="http://schemas.openxmlformats.org/spreadsheetml/2006/main" id="475" name="Tree_60" displayName="Tree_60" ref="A30:D45" totalsRowShown="0" headerRowDxfId="2615" dataDxfId="2613" headerRowBorderDxfId="2614" tableBorderDxfId="2612" headerRowCellStyle="40% - Accent6">
  <autoFilter ref="A30:D45"/>
  <tableColumns count="4">
    <tableColumn id="1" name="Expense" dataDxfId="2611"/>
    <tableColumn id="2" name="Description" dataDxfId="2610"/>
    <tableColumn id="4" name="Label Name" dataDxfId="2609"/>
    <tableColumn id="5" name="Amount" dataDxfId="2608" dataCellStyle="40% - Accent6"/>
  </tableColumns>
  <tableStyleInfo name="TableStyleLight18" showFirstColumn="0" showLastColumn="0" showRowStripes="1" showColumnStripes="0"/>
</table>
</file>

<file path=xl/tables/table476.xml><?xml version="1.0" encoding="utf-8"?>
<table xmlns="http://schemas.openxmlformats.org/spreadsheetml/2006/main" id="476" name="Pest_60" displayName="Pest_60" ref="A49:D64" totalsRowShown="0" headerRowDxfId="2607" dataDxfId="2605" headerRowBorderDxfId="2606" tableBorderDxfId="2604" headerRowCellStyle="40% - Accent6">
  <autoFilter ref="A49:D64"/>
  <tableColumns count="4">
    <tableColumn id="1" name="Expense" dataDxfId="2603"/>
    <tableColumn id="2" name="Description" dataDxfId="2602"/>
    <tableColumn id="4" name="Label Name" dataDxfId="2601"/>
    <tableColumn id="5" name="Amount" dataDxfId="2600" dataCellStyle="40% - Accent6"/>
  </tableColumns>
  <tableStyleInfo name="TableStyleLight18" showFirstColumn="0" showLastColumn="0" showRowStripes="1" showColumnStripes="0"/>
</table>
</file>

<file path=xl/tables/table477.xml><?xml version="1.0" encoding="utf-8"?>
<table xmlns="http://schemas.openxmlformats.org/spreadsheetml/2006/main" id="477" name="Garbage_60" displayName="Garbage_60" ref="A68:D83" totalsRowShown="0" headerRowDxfId="2599" dataDxfId="2597" headerRowBorderDxfId="2598" tableBorderDxfId="2596" headerRowCellStyle="40% - Accent6">
  <autoFilter ref="A68:D83"/>
  <tableColumns count="4">
    <tableColumn id="1" name="Expense" dataDxfId="2595"/>
    <tableColumn id="2" name="Description" dataDxfId="2594"/>
    <tableColumn id="4" name="Label Name" dataDxfId="2593"/>
    <tableColumn id="5" name="Amount" dataDxfId="2592" dataCellStyle="20% - Accent6"/>
  </tableColumns>
  <tableStyleInfo name="TableStyleLight18" showFirstColumn="0" showLastColumn="0" showRowStripes="1" showColumnStripes="0"/>
</table>
</file>

<file path=xl/tables/table478.xml><?xml version="1.0" encoding="utf-8"?>
<table xmlns="http://schemas.openxmlformats.org/spreadsheetml/2006/main" id="478" name="Boarding_60" displayName="Boarding_60" ref="A87:D102" totalsRowShown="0" headerRowDxfId="2591" dataDxfId="2589" headerRowBorderDxfId="2590" tableBorderDxfId="2588" headerRowCellStyle="40% - Accent6">
  <autoFilter ref="A87:D102"/>
  <tableColumns count="4">
    <tableColumn id="1" name="Expense" dataDxfId="2587"/>
    <tableColumn id="2" name="Description" dataDxfId="2586"/>
    <tableColumn id="4" name="Label Name" dataDxfId="2585"/>
    <tableColumn id="5" name="Amount" dataDxfId="2584" dataCellStyle="40% - Accent6"/>
  </tableColumns>
  <tableStyleInfo name="TableStyleLight18" showFirstColumn="0" showLastColumn="0" showRowStripes="1" showColumnStripes="0"/>
</table>
</file>

<file path=xl/tables/table479.xml><?xml version="1.0" encoding="utf-8"?>
<table xmlns="http://schemas.openxmlformats.org/spreadsheetml/2006/main" id="479" name="Fence_60" displayName="Fence_60" ref="A106:D121" totalsRowShown="0" headerRowDxfId="2583" dataDxfId="2581" headerRowBorderDxfId="2582" tableBorderDxfId="2580" headerRowCellStyle="40% - Accent6">
  <autoFilter ref="A106:D121"/>
  <tableColumns count="4">
    <tableColumn id="1" name="Expense" dataDxfId="2579"/>
    <tableColumn id="2" name="Description" dataDxfId="2578"/>
    <tableColumn id="4" name="Label Name" dataDxfId="2577"/>
    <tableColumn id="5" name="Amount" dataDxfId="2576" dataCellStyle="40% - Accent6"/>
  </tableColumns>
  <tableStyleInfo name="TableStyleLight18" showFirstColumn="0" showLastColumn="0" showRowStripes="1" showColumnStripes="0"/>
</table>
</file>

<file path=xl/tables/table48.xml><?xml version="1.0" encoding="utf-8"?>
<table xmlns="http://schemas.openxmlformats.org/spreadsheetml/2006/main" id="113" name="Demolition_6" displayName="Demolition_6" ref="A125:D140" totalsRowShown="0" headerRowDxfId="6031" dataDxfId="6029" headerRowBorderDxfId="6030" tableBorderDxfId="6028" headerRowCellStyle="40% - Accent6">
  <autoFilter ref="A125:D140"/>
  <tableColumns count="4">
    <tableColumn id="1" name="Expense" dataDxfId="6027"/>
    <tableColumn id="2" name="Description" dataDxfId="6026"/>
    <tableColumn id="4" name="Label Name" dataDxfId="6025"/>
    <tableColumn id="5" name="Amount" dataDxfId="6024" dataCellStyle="40% - Accent6"/>
  </tableColumns>
  <tableStyleInfo name="TableStyleLight18" showFirstColumn="0" showLastColumn="0" showRowStripes="1" showColumnStripes="0"/>
</table>
</file>

<file path=xl/tables/table480.xml><?xml version="1.0" encoding="utf-8"?>
<table xmlns="http://schemas.openxmlformats.org/spreadsheetml/2006/main" id="480" name="Demolition_60" displayName="Demolition_60" ref="A125:D140" totalsRowShown="0" headerRowDxfId="2575" dataDxfId="2573" headerRowBorderDxfId="2574" tableBorderDxfId="2572" headerRowCellStyle="40% - Accent6">
  <autoFilter ref="A125:D140"/>
  <tableColumns count="4">
    <tableColumn id="1" name="Expense" dataDxfId="2571"/>
    <tableColumn id="2" name="Description" dataDxfId="2570"/>
    <tableColumn id="4" name="Label Name" dataDxfId="2569"/>
    <tableColumn id="5" name="Amount" dataDxfId="2568" dataCellStyle="40% - Accent6"/>
  </tableColumns>
  <tableStyleInfo name="TableStyleLight18" showFirstColumn="0" showLastColumn="0" showRowStripes="1" showColumnStripes="0"/>
</table>
</file>

<file path=xl/tables/table481.xml><?xml version="1.0" encoding="utf-8"?>
<table xmlns="http://schemas.openxmlformats.org/spreadsheetml/2006/main" id="481" name="Rehab_60" displayName="Rehab_60" ref="A144:D159" totalsRowShown="0" headerRowDxfId="2567" dataDxfId="2565" headerRowBorderDxfId="2566" tableBorderDxfId="2564" headerRowCellStyle="40% - Accent6">
  <autoFilter ref="A144:D159"/>
  <tableColumns count="4">
    <tableColumn id="1" name="Expense" dataDxfId="2563"/>
    <tableColumn id="2" name="Description" dataDxfId="2562"/>
    <tableColumn id="4" name="Label Name" dataDxfId="2561"/>
    <tableColumn id="5" name="Amount" dataDxfId="2560" dataCellStyle="40% - Accent6"/>
  </tableColumns>
  <tableStyleInfo name="TableStyleLight18" showFirstColumn="0" showLastColumn="0" showRowStripes="1" showColumnStripes="0"/>
</table>
</file>

<file path=xl/tables/table482.xml><?xml version="1.0" encoding="utf-8"?>
<table xmlns="http://schemas.openxmlformats.org/spreadsheetml/2006/main" id="482" name="Grass_61" displayName="Grass_61" ref="A11:D26" totalsRowShown="0" headerRowDxfId="2559" dataDxfId="2557" headerRowBorderDxfId="2558" tableBorderDxfId="2556" headerRowCellStyle="40% - Accent6">
  <autoFilter ref="A11:D26"/>
  <tableColumns count="4">
    <tableColumn id="1" name="Expense" dataDxfId="2555"/>
    <tableColumn id="2" name="Description" dataDxfId="2554"/>
    <tableColumn id="4" name="Label Name" dataDxfId="2553"/>
    <tableColumn id="5" name="Amount" dataDxfId="2552" dataCellStyle="20% - Accent6"/>
  </tableColumns>
  <tableStyleInfo name="TableStyleLight18" showFirstColumn="0" showLastColumn="0" showRowStripes="1" showColumnStripes="0"/>
</table>
</file>

<file path=xl/tables/table483.xml><?xml version="1.0" encoding="utf-8"?>
<table xmlns="http://schemas.openxmlformats.org/spreadsheetml/2006/main" id="483" name="Tree_61" displayName="Tree_61" ref="A30:D45" totalsRowShown="0" headerRowDxfId="2551" dataDxfId="2549" headerRowBorderDxfId="2550" tableBorderDxfId="2548" headerRowCellStyle="40% - Accent6">
  <autoFilter ref="A30:D45"/>
  <tableColumns count="4">
    <tableColumn id="1" name="Expense" dataDxfId="2547"/>
    <tableColumn id="2" name="Description" dataDxfId="2546"/>
    <tableColumn id="4" name="Label Name" dataDxfId="2545"/>
    <tableColumn id="5" name="Amount" dataDxfId="2544" dataCellStyle="40% - Accent6"/>
  </tableColumns>
  <tableStyleInfo name="TableStyleLight18" showFirstColumn="0" showLastColumn="0" showRowStripes="1" showColumnStripes="0"/>
</table>
</file>

<file path=xl/tables/table484.xml><?xml version="1.0" encoding="utf-8"?>
<table xmlns="http://schemas.openxmlformats.org/spreadsheetml/2006/main" id="484" name="Pest_61" displayName="Pest_61" ref="A49:D64" totalsRowShown="0" headerRowDxfId="2543" dataDxfId="2541" headerRowBorderDxfId="2542" tableBorderDxfId="2540" headerRowCellStyle="40% - Accent6">
  <autoFilter ref="A49:D64"/>
  <tableColumns count="4">
    <tableColumn id="1" name="Expense" dataDxfId="2539"/>
    <tableColumn id="2" name="Description" dataDxfId="2538"/>
    <tableColumn id="4" name="Label Name" dataDxfId="2537"/>
    <tableColumn id="5" name="Amount" dataDxfId="2536" dataCellStyle="40% - Accent6"/>
  </tableColumns>
  <tableStyleInfo name="TableStyleLight18" showFirstColumn="0" showLastColumn="0" showRowStripes="1" showColumnStripes="0"/>
</table>
</file>

<file path=xl/tables/table485.xml><?xml version="1.0" encoding="utf-8"?>
<table xmlns="http://schemas.openxmlformats.org/spreadsheetml/2006/main" id="485" name="Garbage_61" displayName="Garbage_61" ref="A68:D83" totalsRowShown="0" headerRowDxfId="2535" dataDxfId="2533" headerRowBorderDxfId="2534" tableBorderDxfId="2532" headerRowCellStyle="40% - Accent6">
  <autoFilter ref="A68:D83"/>
  <tableColumns count="4">
    <tableColumn id="1" name="Expense" dataDxfId="2531"/>
    <tableColumn id="2" name="Description" dataDxfId="2530"/>
    <tableColumn id="4" name="Label Name" dataDxfId="2529"/>
    <tableColumn id="5" name="Amount" dataDxfId="2528" dataCellStyle="20% - Accent6"/>
  </tableColumns>
  <tableStyleInfo name="TableStyleLight18" showFirstColumn="0" showLastColumn="0" showRowStripes="1" showColumnStripes="0"/>
</table>
</file>

<file path=xl/tables/table486.xml><?xml version="1.0" encoding="utf-8"?>
<table xmlns="http://schemas.openxmlformats.org/spreadsheetml/2006/main" id="486" name="Boarding_61" displayName="Boarding_61" ref="A87:D102" totalsRowShown="0" headerRowDxfId="2527" dataDxfId="2525" headerRowBorderDxfId="2526" tableBorderDxfId="2524" headerRowCellStyle="40% - Accent6">
  <autoFilter ref="A87:D102"/>
  <tableColumns count="4">
    <tableColumn id="1" name="Expense" dataDxfId="2523"/>
    <tableColumn id="2" name="Description" dataDxfId="2522"/>
    <tableColumn id="4" name="Label Name" dataDxfId="2521"/>
    <tableColumn id="5" name="Amount" dataDxfId="2520" dataCellStyle="40% - Accent6"/>
  </tableColumns>
  <tableStyleInfo name="TableStyleLight18" showFirstColumn="0" showLastColumn="0" showRowStripes="1" showColumnStripes="0"/>
</table>
</file>

<file path=xl/tables/table487.xml><?xml version="1.0" encoding="utf-8"?>
<table xmlns="http://schemas.openxmlformats.org/spreadsheetml/2006/main" id="487" name="Fence_61" displayName="Fence_61" ref="A106:D121" totalsRowShown="0" headerRowDxfId="2519" dataDxfId="2517" headerRowBorderDxfId="2518" tableBorderDxfId="2516" headerRowCellStyle="40% - Accent6">
  <autoFilter ref="A106:D121"/>
  <tableColumns count="4">
    <tableColumn id="1" name="Expense" dataDxfId="2515"/>
    <tableColumn id="2" name="Description" dataDxfId="2514"/>
    <tableColumn id="4" name="Label Name" dataDxfId="2513"/>
    <tableColumn id="5" name="Amount" dataDxfId="2512" dataCellStyle="40% - Accent6"/>
  </tableColumns>
  <tableStyleInfo name="TableStyleLight18" showFirstColumn="0" showLastColumn="0" showRowStripes="1" showColumnStripes="0"/>
</table>
</file>

<file path=xl/tables/table488.xml><?xml version="1.0" encoding="utf-8"?>
<table xmlns="http://schemas.openxmlformats.org/spreadsheetml/2006/main" id="488" name="Demolition_61" displayName="Demolition_61" ref="A125:D140" totalsRowShown="0" headerRowDxfId="2511" dataDxfId="2509" headerRowBorderDxfId="2510" tableBorderDxfId="2508" headerRowCellStyle="40% - Accent6">
  <autoFilter ref="A125:D140"/>
  <tableColumns count="4">
    <tableColumn id="1" name="Expense" dataDxfId="2507"/>
    <tableColumn id="2" name="Description" dataDxfId="2506"/>
    <tableColumn id="4" name="Label Name" dataDxfId="2505"/>
    <tableColumn id="5" name="Amount" dataDxfId="2504" dataCellStyle="40% - Accent6"/>
  </tableColumns>
  <tableStyleInfo name="TableStyleLight18" showFirstColumn="0" showLastColumn="0" showRowStripes="1" showColumnStripes="0"/>
</table>
</file>

<file path=xl/tables/table489.xml><?xml version="1.0" encoding="utf-8"?>
<table xmlns="http://schemas.openxmlformats.org/spreadsheetml/2006/main" id="489" name="Rehab_61" displayName="Rehab_61" ref="A144:D159" totalsRowShown="0" headerRowDxfId="2503" dataDxfId="2501" headerRowBorderDxfId="2502" tableBorderDxfId="2500" headerRowCellStyle="40% - Accent6">
  <autoFilter ref="A144:D159"/>
  <tableColumns count="4">
    <tableColumn id="1" name="Expense" dataDxfId="2499"/>
    <tableColumn id="2" name="Description" dataDxfId="2498"/>
    <tableColumn id="4" name="Label Name" dataDxfId="2497"/>
    <tableColumn id="5" name="Amount" dataDxfId="2496" dataCellStyle="40% - Accent6"/>
  </tableColumns>
  <tableStyleInfo name="TableStyleLight18" showFirstColumn="0" showLastColumn="0" showRowStripes="1" showColumnStripes="0"/>
</table>
</file>

<file path=xl/tables/table49.xml><?xml version="1.0" encoding="utf-8"?>
<table xmlns="http://schemas.openxmlformats.org/spreadsheetml/2006/main" id="114" name="Rehab_6" displayName="Rehab_6" ref="A144:D159" totalsRowShown="0" headerRowDxfId="6023" dataDxfId="6021" headerRowBorderDxfId="6022" tableBorderDxfId="6020" headerRowCellStyle="40% - Accent6">
  <autoFilter ref="A144:D159"/>
  <tableColumns count="4">
    <tableColumn id="1" name="Expense" dataDxfId="6019"/>
    <tableColumn id="2" name="Description" dataDxfId="6018"/>
    <tableColumn id="4" name="Label Name" dataDxfId="6017"/>
    <tableColumn id="5" name="Amount" dataDxfId="6016" dataCellStyle="40% - Accent6"/>
  </tableColumns>
  <tableStyleInfo name="TableStyleLight18" showFirstColumn="0" showLastColumn="0" showRowStripes="1" showColumnStripes="0"/>
</table>
</file>

<file path=xl/tables/table490.xml><?xml version="1.0" encoding="utf-8"?>
<table xmlns="http://schemas.openxmlformats.org/spreadsheetml/2006/main" id="490" name="Grass_62" displayName="Grass_62" ref="A11:D26" totalsRowShown="0" headerRowDxfId="2495" dataDxfId="2493" headerRowBorderDxfId="2494" tableBorderDxfId="2492" headerRowCellStyle="40% - Accent6">
  <autoFilter ref="A11:D26"/>
  <tableColumns count="4">
    <tableColumn id="1" name="Expense" dataDxfId="2491"/>
    <tableColumn id="2" name="Description" dataDxfId="2490"/>
    <tableColumn id="4" name="Label Name" dataDxfId="2489"/>
    <tableColumn id="5" name="Amount" dataDxfId="2488" dataCellStyle="20% - Accent6"/>
  </tableColumns>
  <tableStyleInfo name="TableStyleLight18" showFirstColumn="0" showLastColumn="0" showRowStripes="1" showColumnStripes="0"/>
</table>
</file>

<file path=xl/tables/table491.xml><?xml version="1.0" encoding="utf-8"?>
<table xmlns="http://schemas.openxmlformats.org/spreadsheetml/2006/main" id="491" name="Tree_62" displayName="Tree_62" ref="A30:D45" totalsRowShown="0" headerRowDxfId="2487" dataDxfId="2485" headerRowBorderDxfId="2486" tableBorderDxfId="2484" headerRowCellStyle="40% - Accent6">
  <autoFilter ref="A30:D45"/>
  <tableColumns count="4">
    <tableColumn id="1" name="Expense" dataDxfId="2483"/>
    <tableColumn id="2" name="Description" dataDxfId="2482"/>
    <tableColumn id="4" name="Label Name" dataDxfId="2481"/>
    <tableColumn id="5" name="Amount" dataDxfId="2480" dataCellStyle="40% - Accent6"/>
  </tableColumns>
  <tableStyleInfo name="TableStyleLight18" showFirstColumn="0" showLastColumn="0" showRowStripes="1" showColumnStripes="0"/>
</table>
</file>

<file path=xl/tables/table492.xml><?xml version="1.0" encoding="utf-8"?>
<table xmlns="http://schemas.openxmlformats.org/spreadsheetml/2006/main" id="492" name="Pest_62" displayName="Pest_62" ref="A49:D64" totalsRowShown="0" headerRowDxfId="2479" dataDxfId="2477" headerRowBorderDxfId="2478" tableBorderDxfId="2476" headerRowCellStyle="40% - Accent6">
  <autoFilter ref="A49:D64"/>
  <tableColumns count="4">
    <tableColumn id="1" name="Expense" dataDxfId="2475"/>
    <tableColumn id="2" name="Description" dataDxfId="2474"/>
    <tableColumn id="4" name="Label Name" dataDxfId="2473"/>
    <tableColumn id="5" name="Amount" dataDxfId="2472" dataCellStyle="40% - Accent6"/>
  </tableColumns>
  <tableStyleInfo name="TableStyleLight18" showFirstColumn="0" showLastColumn="0" showRowStripes="1" showColumnStripes="0"/>
</table>
</file>

<file path=xl/tables/table493.xml><?xml version="1.0" encoding="utf-8"?>
<table xmlns="http://schemas.openxmlformats.org/spreadsheetml/2006/main" id="493" name="Garbage_62" displayName="Garbage_62" ref="A68:D83" totalsRowShown="0" headerRowDxfId="2471" dataDxfId="2469" headerRowBorderDxfId="2470" tableBorderDxfId="2468" headerRowCellStyle="40% - Accent6">
  <autoFilter ref="A68:D83"/>
  <tableColumns count="4">
    <tableColumn id="1" name="Expense" dataDxfId="2467"/>
    <tableColumn id="2" name="Description" dataDxfId="2466"/>
    <tableColumn id="4" name="Label Name" dataDxfId="2465"/>
    <tableColumn id="5" name="Amount" dataDxfId="2464" dataCellStyle="20% - Accent6"/>
  </tableColumns>
  <tableStyleInfo name="TableStyleLight18" showFirstColumn="0" showLastColumn="0" showRowStripes="1" showColumnStripes="0"/>
</table>
</file>

<file path=xl/tables/table494.xml><?xml version="1.0" encoding="utf-8"?>
<table xmlns="http://schemas.openxmlformats.org/spreadsheetml/2006/main" id="494" name="Boarding_62" displayName="Boarding_62" ref="A87:D102" totalsRowShown="0" headerRowDxfId="2463" dataDxfId="2461" headerRowBorderDxfId="2462" tableBorderDxfId="2460" headerRowCellStyle="40% - Accent6">
  <autoFilter ref="A87:D102"/>
  <tableColumns count="4">
    <tableColumn id="1" name="Expense" dataDxfId="2459"/>
    <tableColumn id="2" name="Description" dataDxfId="2458"/>
    <tableColumn id="4" name="Label Name" dataDxfId="2457"/>
    <tableColumn id="5" name="Amount" dataDxfId="2456" dataCellStyle="40% - Accent6"/>
  </tableColumns>
  <tableStyleInfo name="TableStyleLight18" showFirstColumn="0" showLastColumn="0" showRowStripes="1" showColumnStripes="0"/>
</table>
</file>

<file path=xl/tables/table495.xml><?xml version="1.0" encoding="utf-8"?>
<table xmlns="http://schemas.openxmlformats.org/spreadsheetml/2006/main" id="495" name="Fence_62" displayName="Fence_62" ref="A106:D121" totalsRowShown="0" headerRowDxfId="2455" dataDxfId="2453" headerRowBorderDxfId="2454" tableBorderDxfId="2452" headerRowCellStyle="40% - Accent6">
  <autoFilter ref="A106:D121"/>
  <tableColumns count="4">
    <tableColumn id="1" name="Expense" dataDxfId="2451"/>
    <tableColumn id="2" name="Description" dataDxfId="2450"/>
    <tableColumn id="4" name="Label Name" dataDxfId="2449"/>
    <tableColumn id="5" name="Amount" dataDxfId="2448" dataCellStyle="40% - Accent6"/>
  </tableColumns>
  <tableStyleInfo name="TableStyleLight18" showFirstColumn="0" showLastColumn="0" showRowStripes="1" showColumnStripes="0"/>
</table>
</file>

<file path=xl/tables/table496.xml><?xml version="1.0" encoding="utf-8"?>
<table xmlns="http://schemas.openxmlformats.org/spreadsheetml/2006/main" id="496" name="Demolition_62" displayName="Demolition_62" ref="A125:D140" totalsRowShown="0" headerRowDxfId="2447" dataDxfId="2445" headerRowBorderDxfId="2446" tableBorderDxfId="2444" headerRowCellStyle="40% - Accent6">
  <autoFilter ref="A125:D140"/>
  <tableColumns count="4">
    <tableColumn id="1" name="Expense" dataDxfId="2443"/>
    <tableColumn id="2" name="Description" dataDxfId="2442"/>
    <tableColumn id="4" name="Label Name" dataDxfId="2441"/>
    <tableColumn id="5" name="Amount" dataDxfId="2440" dataCellStyle="40% - Accent6"/>
  </tableColumns>
  <tableStyleInfo name="TableStyleLight18" showFirstColumn="0" showLastColumn="0" showRowStripes="1" showColumnStripes="0"/>
</table>
</file>

<file path=xl/tables/table497.xml><?xml version="1.0" encoding="utf-8"?>
<table xmlns="http://schemas.openxmlformats.org/spreadsheetml/2006/main" id="497" name="Rehab_62" displayName="Rehab_62" ref="A144:D159" totalsRowShown="0" headerRowDxfId="2439" dataDxfId="2437" headerRowBorderDxfId="2438" tableBorderDxfId="2436" headerRowCellStyle="40% - Accent6">
  <autoFilter ref="A144:D159"/>
  <tableColumns count="4">
    <tableColumn id="1" name="Expense" dataDxfId="2435"/>
    <tableColumn id="2" name="Description" dataDxfId="2434"/>
    <tableColumn id="4" name="Label Name" dataDxfId="2433"/>
    <tableColumn id="5" name="Amount" dataDxfId="2432" dataCellStyle="40% - Accent6"/>
  </tableColumns>
  <tableStyleInfo name="TableStyleLight18" showFirstColumn="0" showLastColumn="0" showRowStripes="1" showColumnStripes="0"/>
</table>
</file>

<file path=xl/tables/table498.xml><?xml version="1.0" encoding="utf-8"?>
<table xmlns="http://schemas.openxmlformats.org/spreadsheetml/2006/main" id="498" name="Grass_63" displayName="Grass_63" ref="A11:D26" totalsRowShown="0" headerRowDxfId="2431" dataDxfId="2429" headerRowBorderDxfId="2430" tableBorderDxfId="2428" headerRowCellStyle="40% - Accent6">
  <autoFilter ref="A11:D26"/>
  <tableColumns count="4">
    <tableColumn id="1" name="Expense" dataDxfId="2427"/>
    <tableColumn id="2" name="Description" dataDxfId="2426"/>
    <tableColumn id="4" name="Label Name" dataDxfId="2425"/>
    <tableColumn id="5" name="Amount" dataDxfId="2424" dataCellStyle="20% - Accent6"/>
  </tableColumns>
  <tableStyleInfo name="TableStyleLight18" showFirstColumn="0" showLastColumn="0" showRowStripes="1" showColumnStripes="0"/>
</table>
</file>

<file path=xl/tables/table499.xml><?xml version="1.0" encoding="utf-8"?>
<table xmlns="http://schemas.openxmlformats.org/spreadsheetml/2006/main" id="499" name="Tree_63" displayName="Tree_63" ref="A30:D45" totalsRowShown="0" headerRowDxfId="2423" dataDxfId="2421" headerRowBorderDxfId="2422" tableBorderDxfId="2420" headerRowCellStyle="40% - Accent6">
  <autoFilter ref="A30:D45"/>
  <tableColumns count="4">
    <tableColumn id="1" name="Expense" dataDxfId="2419"/>
    <tableColumn id="2" name="Description" dataDxfId="2418"/>
    <tableColumn id="4" name="Label Name" dataDxfId="2417"/>
    <tableColumn id="5" name="Amount" dataDxfId="2416" dataCellStyle="40% - Accent6"/>
  </tableColumns>
  <tableStyleInfo name="TableStyleLight18" showFirstColumn="0" showLastColumn="0" showRowStripes="1" showColumnStripes="0"/>
</table>
</file>

<file path=xl/tables/table5.xml><?xml version="1.0" encoding="utf-8"?>
<table xmlns="http://schemas.openxmlformats.org/spreadsheetml/2006/main" id="62" name="Garbage_1" displayName="Garbage_1" ref="A68:D83" totalsRowShown="0" headerRowDxfId="6375" dataDxfId="6373" headerRowBorderDxfId="6374" tableBorderDxfId="6372" headerRowCellStyle="40% - Accent6">
  <autoFilter ref="A68:D83"/>
  <tableColumns count="4">
    <tableColumn id="1" name="Expense" dataDxfId="6371"/>
    <tableColumn id="2" name="Description" dataDxfId="6370"/>
    <tableColumn id="4" name="Label Name" dataDxfId="6369"/>
    <tableColumn id="5" name="Amount" dataDxfId="6368" dataCellStyle="20% - Accent6"/>
  </tableColumns>
  <tableStyleInfo name="TableStyleLight18" showFirstColumn="0" showLastColumn="0" showRowStripes="1" showColumnStripes="0"/>
</table>
</file>

<file path=xl/tables/table50.xml><?xml version="1.0" encoding="utf-8"?>
<table xmlns="http://schemas.openxmlformats.org/spreadsheetml/2006/main" id="115" name="Grass_7" displayName="Grass_7" ref="A11:D26" totalsRowShown="0" headerRowDxfId="6015" dataDxfId="6013" headerRowBorderDxfId="6014" tableBorderDxfId="6012" headerRowCellStyle="40% - Accent6">
  <autoFilter ref="A11:D26"/>
  <tableColumns count="4">
    <tableColumn id="1" name="Expense" dataDxfId="6011"/>
    <tableColumn id="2" name="Description" dataDxfId="6010"/>
    <tableColumn id="4" name="Label Name" dataDxfId="6009"/>
    <tableColumn id="5" name="Amount" dataDxfId="6008" dataCellStyle="20% - Accent6"/>
  </tableColumns>
  <tableStyleInfo name="TableStyleLight18" showFirstColumn="0" showLastColumn="0" showRowStripes="1" showColumnStripes="0"/>
</table>
</file>

<file path=xl/tables/table500.xml><?xml version="1.0" encoding="utf-8"?>
<table xmlns="http://schemas.openxmlformats.org/spreadsheetml/2006/main" id="500" name="Pest_63" displayName="Pest_63" ref="A49:D64" totalsRowShown="0" headerRowDxfId="2415" dataDxfId="2413" headerRowBorderDxfId="2414" tableBorderDxfId="2412" headerRowCellStyle="40% - Accent6">
  <autoFilter ref="A49:D64"/>
  <tableColumns count="4">
    <tableColumn id="1" name="Expense" dataDxfId="2411"/>
    <tableColumn id="2" name="Description" dataDxfId="2410"/>
    <tableColumn id="4" name="Label Name" dataDxfId="2409"/>
    <tableColumn id="5" name="Amount" dataDxfId="2408" dataCellStyle="40% - Accent6"/>
  </tableColumns>
  <tableStyleInfo name="TableStyleLight18" showFirstColumn="0" showLastColumn="0" showRowStripes="1" showColumnStripes="0"/>
</table>
</file>

<file path=xl/tables/table501.xml><?xml version="1.0" encoding="utf-8"?>
<table xmlns="http://schemas.openxmlformats.org/spreadsheetml/2006/main" id="501" name="Garbage_63" displayName="Garbage_63" ref="A68:D83" totalsRowShown="0" headerRowDxfId="2407" dataDxfId="2405" headerRowBorderDxfId="2406" tableBorderDxfId="2404" headerRowCellStyle="40% - Accent6">
  <autoFilter ref="A68:D83"/>
  <tableColumns count="4">
    <tableColumn id="1" name="Expense" dataDxfId="2403"/>
    <tableColumn id="2" name="Description" dataDxfId="2402"/>
    <tableColumn id="4" name="Label Name" dataDxfId="2401"/>
    <tableColumn id="5" name="Amount" dataDxfId="2400" dataCellStyle="20% - Accent6"/>
  </tableColumns>
  <tableStyleInfo name="TableStyleLight18" showFirstColumn="0" showLastColumn="0" showRowStripes="1" showColumnStripes="0"/>
</table>
</file>

<file path=xl/tables/table502.xml><?xml version="1.0" encoding="utf-8"?>
<table xmlns="http://schemas.openxmlformats.org/spreadsheetml/2006/main" id="502" name="Boarding_63" displayName="Boarding_63" ref="A87:D102" totalsRowShown="0" headerRowDxfId="2399" dataDxfId="2397" headerRowBorderDxfId="2398" tableBorderDxfId="2396" headerRowCellStyle="40% - Accent6">
  <autoFilter ref="A87:D102"/>
  <tableColumns count="4">
    <tableColumn id="1" name="Expense" dataDxfId="2395"/>
    <tableColumn id="2" name="Description" dataDxfId="2394"/>
    <tableColumn id="4" name="Label Name" dataDxfId="2393"/>
    <tableColumn id="5" name="Amount" dataDxfId="2392" dataCellStyle="40% - Accent6"/>
  </tableColumns>
  <tableStyleInfo name="TableStyleLight18" showFirstColumn="0" showLastColumn="0" showRowStripes="1" showColumnStripes="0"/>
</table>
</file>

<file path=xl/tables/table503.xml><?xml version="1.0" encoding="utf-8"?>
<table xmlns="http://schemas.openxmlformats.org/spreadsheetml/2006/main" id="503" name="Fence_63" displayName="Fence_63" ref="A106:D121" totalsRowShown="0" headerRowDxfId="2391" dataDxfId="2389" headerRowBorderDxfId="2390" tableBorderDxfId="2388" headerRowCellStyle="40% - Accent6">
  <autoFilter ref="A106:D121"/>
  <tableColumns count="4">
    <tableColumn id="1" name="Expense" dataDxfId="2387"/>
    <tableColumn id="2" name="Description" dataDxfId="2386"/>
    <tableColumn id="4" name="Label Name" dataDxfId="2385"/>
    <tableColumn id="5" name="Amount" dataDxfId="2384" dataCellStyle="40% - Accent6"/>
  </tableColumns>
  <tableStyleInfo name="TableStyleLight18" showFirstColumn="0" showLastColumn="0" showRowStripes="1" showColumnStripes="0"/>
</table>
</file>

<file path=xl/tables/table504.xml><?xml version="1.0" encoding="utf-8"?>
<table xmlns="http://schemas.openxmlformats.org/spreadsheetml/2006/main" id="504" name="Demolition_63" displayName="Demolition_63" ref="A125:D140" totalsRowShown="0" headerRowDxfId="2383" dataDxfId="2381" headerRowBorderDxfId="2382" tableBorderDxfId="2380" headerRowCellStyle="40% - Accent6">
  <autoFilter ref="A125:D140"/>
  <tableColumns count="4">
    <tableColumn id="1" name="Expense" dataDxfId="2379"/>
    <tableColumn id="2" name="Description" dataDxfId="2378"/>
    <tableColumn id="4" name="Label Name" dataDxfId="2377"/>
    <tableColumn id="5" name="Amount" dataDxfId="2376" dataCellStyle="40% - Accent6"/>
  </tableColumns>
  <tableStyleInfo name="TableStyleLight18" showFirstColumn="0" showLastColumn="0" showRowStripes="1" showColumnStripes="0"/>
</table>
</file>

<file path=xl/tables/table505.xml><?xml version="1.0" encoding="utf-8"?>
<table xmlns="http://schemas.openxmlformats.org/spreadsheetml/2006/main" id="505" name="Rehab_63" displayName="Rehab_63" ref="A144:D159" totalsRowShown="0" headerRowDxfId="2375" dataDxfId="2373" headerRowBorderDxfId="2374" tableBorderDxfId="2372" headerRowCellStyle="40% - Accent6">
  <autoFilter ref="A144:D159"/>
  <tableColumns count="4">
    <tableColumn id="1" name="Expense" dataDxfId="2371"/>
    <tableColumn id="2" name="Description" dataDxfId="2370"/>
    <tableColumn id="4" name="Label Name" dataDxfId="2369"/>
    <tableColumn id="5" name="Amount" dataDxfId="2368" dataCellStyle="40% - Accent6"/>
  </tableColumns>
  <tableStyleInfo name="TableStyleLight18" showFirstColumn="0" showLastColumn="0" showRowStripes="1" showColumnStripes="0"/>
</table>
</file>

<file path=xl/tables/table506.xml><?xml version="1.0" encoding="utf-8"?>
<table xmlns="http://schemas.openxmlformats.org/spreadsheetml/2006/main" id="506" name="Grass_64" displayName="Grass_64" ref="A11:D26" totalsRowShown="0" headerRowDxfId="2367" dataDxfId="2365" headerRowBorderDxfId="2366" tableBorderDxfId="2364" headerRowCellStyle="40% - Accent6">
  <autoFilter ref="A11:D26"/>
  <tableColumns count="4">
    <tableColumn id="1" name="Expense" dataDxfId="2363"/>
    <tableColumn id="2" name="Description" dataDxfId="2362"/>
    <tableColumn id="4" name="Label Name" dataDxfId="2361"/>
    <tableColumn id="5" name="Amount" dataDxfId="2360" dataCellStyle="20% - Accent6"/>
  </tableColumns>
  <tableStyleInfo name="TableStyleLight18" showFirstColumn="0" showLastColumn="0" showRowStripes="1" showColumnStripes="0"/>
</table>
</file>

<file path=xl/tables/table507.xml><?xml version="1.0" encoding="utf-8"?>
<table xmlns="http://schemas.openxmlformats.org/spreadsheetml/2006/main" id="507" name="Tree_64" displayName="Tree_64" ref="A30:D45" totalsRowShown="0" headerRowDxfId="2359" dataDxfId="2357" headerRowBorderDxfId="2358" tableBorderDxfId="2356" headerRowCellStyle="40% - Accent6">
  <autoFilter ref="A30:D45"/>
  <tableColumns count="4">
    <tableColumn id="1" name="Expense" dataDxfId="2355"/>
    <tableColumn id="2" name="Description" dataDxfId="2354"/>
    <tableColumn id="4" name="Label Name" dataDxfId="2353"/>
    <tableColumn id="5" name="Amount" dataDxfId="2352" dataCellStyle="40% - Accent6"/>
  </tableColumns>
  <tableStyleInfo name="TableStyleLight18" showFirstColumn="0" showLastColumn="0" showRowStripes="1" showColumnStripes="0"/>
</table>
</file>

<file path=xl/tables/table508.xml><?xml version="1.0" encoding="utf-8"?>
<table xmlns="http://schemas.openxmlformats.org/spreadsheetml/2006/main" id="508" name="Pest_64" displayName="Pest_64" ref="A49:D64" totalsRowShown="0" headerRowDxfId="2351" dataDxfId="2349" headerRowBorderDxfId="2350" tableBorderDxfId="2348" headerRowCellStyle="40% - Accent6">
  <autoFilter ref="A49:D64"/>
  <tableColumns count="4">
    <tableColumn id="1" name="Expense" dataDxfId="2347"/>
    <tableColumn id="2" name="Description" dataDxfId="2346"/>
    <tableColumn id="4" name="Label Name" dataDxfId="2345"/>
    <tableColumn id="5" name="Amount" dataDxfId="2344" dataCellStyle="40% - Accent6"/>
  </tableColumns>
  <tableStyleInfo name="TableStyleLight18" showFirstColumn="0" showLastColumn="0" showRowStripes="1" showColumnStripes="0"/>
</table>
</file>

<file path=xl/tables/table509.xml><?xml version="1.0" encoding="utf-8"?>
<table xmlns="http://schemas.openxmlformats.org/spreadsheetml/2006/main" id="509" name="Garbage_64" displayName="Garbage_64" ref="A68:D83" totalsRowShown="0" headerRowDxfId="2343" dataDxfId="2341" headerRowBorderDxfId="2342" tableBorderDxfId="2340" headerRowCellStyle="40% - Accent6">
  <autoFilter ref="A68:D83"/>
  <tableColumns count="4">
    <tableColumn id="1" name="Expense" dataDxfId="2339"/>
    <tableColumn id="2" name="Description" dataDxfId="2338"/>
    <tableColumn id="4" name="Label Name" dataDxfId="2337"/>
    <tableColumn id="5" name="Amount" dataDxfId="2336" dataCellStyle="20% - Accent6"/>
  </tableColumns>
  <tableStyleInfo name="TableStyleLight18" showFirstColumn="0" showLastColumn="0" showRowStripes="1" showColumnStripes="0"/>
</table>
</file>

<file path=xl/tables/table51.xml><?xml version="1.0" encoding="utf-8"?>
<table xmlns="http://schemas.openxmlformats.org/spreadsheetml/2006/main" id="116" name="Tree_7" displayName="Tree_7" ref="A30:D45" totalsRowShown="0" headerRowDxfId="6007" dataDxfId="6005" headerRowBorderDxfId="6006" tableBorderDxfId="6004" headerRowCellStyle="40% - Accent6">
  <autoFilter ref="A30:D45"/>
  <tableColumns count="4">
    <tableColumn id="1" name="Expense" dataDxfId="6003"/>
    <tableColumn id="2" name="Description" dataDxfId="6002"/>
    <tableColumn id="4" name="Label Name" dataDxfId="6001"/>
    <tableColumn id="5" name="Amount" dataDxfId="6000" dataCellStyle="40% - Accent6"/>
  </tableColumns>
  <tableStyleInfo name="TableStyleLight18" showFirstColumn="0" showLastColumn="0" showRowStripes="1" showColumnStripes="0"/>
</table>
</file>

<file path=xl/tables/table510.xml><?xml version="1.0" encoding="utf-8"?>
<table xmlns="http://schemas.openxmlformats.org/spreadsheetml/2006/main" id="510" name="Boarding_64" displayName="Boarding_64" ref="A87:D102" totalsRowShown="0" headerRowDxfId="2335" dataDxfId="2333" headerRowBorderDxfId="2334" tableBorderDxfId="2332" headerRowCellStyle="40% - Accent6">
  <autoFilter ref="A87:D102"/>
  <tableColumns count="4">
    <tableColumn id="1" name="Expense" dataDxfId="2331"/>
    <tableColumn id="2" name="Description" dataDxfId="2330"/>
    <tableColumn id="4" name="Label Name" dataDxfId="2329"/>
    <tableColumn id="5" name="Amount" dataDxfId="2328" dataCellStyle="40% - Accent6"/>
  </tableColumns>
  <tableStyleInfo name="TableStyleLight18" showFirstColumn="0" showLastColumn="0" showRowStripes="1" showColumnStripes="0"/>
</table>
</file>

<file path=xl/tables/table511.xml><?xml version="1.0" encoding="utf-8"?>
<table xmlns="http://schemas.openxmlformats.org/spreadsheetml/2006/main" id="511" name="Fence_64" displayName="Fence_64" ref="A106:D121" totalsRowShown="0" headerRowDxfId="2327" dataDxfId="2325" headerRowBorderDxfId="2326" tableBorderDxfId="2324" headerRowCellStyle="40% - Accent6">
  <autoFilter ref="A106:D121"/>
  <tableColumns count="4">
    <tableColumn id="1" name="Expense" dataDxfId="2323"/>
    <tableColumn id="2" name="Description" dataDxfId="2322"/>
    <tableColumn id="4" name="Label Name" dataDxfId="2321"/>
    <tableColumn id="5" name="Amount" dataDxfId="2320" dataCellStyle="40% - Accent6"/>
  </tableColumns>
  <tableStyleInfo name="TableStyleLight18" showFirstColumn="0" showLastColumn="0" showRowStripes="1" showColumnStripes="0"/>
</table>
</file>

<file path=xl/tables/table512.xml><?xml version="1.0" encoding="utf-8"?>
<table xmlns="http://schemas.openxmlformats.org/spreadsheetml/2006/main" id="512" name="Demolition_64" displayName="Demolition_64" ref="A125:D140" totalsRowShown="0" headerRowDxfId="2319" dataDxfId="2317" headerRowBorderDxfId="2318" tableBorderDxfId="2316" headerRowCellStyle="40% - Accent6">
  <autoFilter ref="A125:D140"/>
  <tableColumns count="4">
    <tableColumn id="1" name="Expense" dataDxfId="2315"/>
    <tableColumn id="2" name="Description" dataDxfId="2314"/>
    <tableColumn id="4" name="Label Name" dataDxfId="2313"/>
    <tableColumn id="5" name="Amount" dataDxfId="2312" dataCellStyle="40% - Accent6"/>
  </tableColumns>
  <tableStyleInfo name="TableStyleLight18" showFirstColumn="0" showLastColumn="0" showRowStripes="1" showColumnStripes="0"/>
</table>
</file>

<file path=xl/tables/table513.xml><?xml version="1.0" encoding="utf-8"?>
<table xmlns="http://schemas.openxmlformats.org/spreadsheetml/2006/main" id="513" name="Rehab_64" displayName="Rehab_64" ref="A144:D159" totalsRowShown="0" headerRowDxfId="2311" dataDxfId="2309" headerRowBorderDxfId="2310" tableBorderDxfId="2308" headerRowCellStyle="40% - Accent6">
  <autoFilter ref="A144:D159"/>
  <tableColumns count="4">
    <tableColumn id="1" name="Expense" dataDxfId="2307"/>
    <tableColumn id="2" name="Description" dataDxfId="2306"/>
    <tableColumn id="4" name="Label Name" dataDxfId="2305"/>
    <tableColumn id="5" name="Amount" dataDxfId="2304" dataCellStyle="40% - Accent6"/>
  </tableColumns>
  <tableStyleInfo name="TableStyleLight18" showFirstColumn="0" showLastColumn="0" showRowStripes="1" showColumnStripes="0"/>
</table>
</file>

<file path=xl/tables/table514.xml><?xml version="1.0" encoding="utf-8"?>
<table xmlns="http://schemas.openxmlformats.org/spreadsheetml/2006/main" id="514" name="Grass_65" displayName="Grass_65" ref="A11:D26" totalsRowShown="0" headerRowDxfId="2303" dataDxfId="2301" headerRowBorderDxfId="2302" tableBorderDxfId="2300" headerRowCellStyle="40% - Accent6">
  <autoFilter ref="A11:D26"/>
  <tableColumns count="4">
    <tableColumn id="1" name="Expense" dataDxfId="2299"/>
    <tableColumn id="2" name="Description" dataDxfId="2298"/>
    <tableColumn id="4" name="Label Name" dataDxfId="2297"/>
    <tableColumn id="5" name="Amount" dataDxfId="2296" dataCellStyle="20% - Accent6"/>
  </tableColumns>
  <tableStyleInfo name="TableStyleLight18" showFirstColumn="0" showLastColumn="0" showRowStripes="1" showColumnStripes="0"/>
</table>
</file>

<file path=xl/tables/table515.xml><?xml version="1.0" encoding="utf-8"?>
<table xmlns="http://schemas.openxmlformats.org/spreadsheetml/2006/main" id="515" name="Tree_65" displayName="Tree_65" ref="A30:D45" totalsRowShown="0" headerRowDxfId="2295" dataDxfId="2293" headerRowBorderDxfId="2294" tableBorderDxfId="2292" headerRowCellStyle="40% - Accent6">
  <autoFilter ref="A30:D45"/>
  <tableColumns count="4">
    <tableColumn id="1" name="Expense" dataDxfId="2291"/>
    <tableColumn id="2" name="Description" dataDxfId="2290"/>
    <tableColumn id="4" name="Label Name" dataDxfId="2289"/>
    <tableColumn id="5" name="Amount" dataDxfId="2288" dataCellStyle="40% - Accent6"/>
  </tableColumns>
  <tableStyleInfo name="TableStyleLight18" showFirstColumn="0" showLastColumn="0" showRowStripes="1" showColumnStripes="0"/>
</table>
</file>

<file path=xl/tables/table516.xml><?xml version="1.0" encoding="utf-8"?>
<table xmlns="http://schemas.openxmlformats.org/spreadsheetml/2006/main" id="516" name="Pest_65" displayName="Pest_65" ref="A49:D64" totalsRowShown="0" headerRowDxfId="2287" dataDxfId="2285" headerRowBorderDxfId="2286" tableBorderDxfId="2284" headerRowCellStyle="40% - Accent6">
  <autoFilter ref="A49:D64"/>
  <tableColumns count="4">
    <tableColumn id="1" name="Expense" dataDxfId="2283"/>
    <tableColumn id="2" name="Description" dataDxfId="2282"/>
    <tableColumn id="4" name="Label Name" dataDxfId="2281"/>
    <tableColumn id="5" name="Amount" dataDxfId="2280" dataCellStyle="40% - Accent6"/>
  </tableColumns>
  <tableStyleInfo name="TableStyleLight18" showFirstColumn="0" showLastColumn="0" showRowStripes="1" showColumnStripes="0"/>
</table>
</file>

<file path=xl/tables/table517.xml><?xml version="1.0" encoding="utf-8"?>
<table xmlns="http://schemas.openxmlformats.org/spreadsheetml/2006/main" id="517" name="Garbage_65" displayName="Garbage_65" ref="A68:D83" totalsRowShown="0" headerRowDxfId="2279" dataDxfId="2277" headerRowBorderDxfId="2278" tableBorderDxfId="2276" headerRowCellStyle="40% - Accent6">
  <autoFilter ref="A68:D83"/>
  <tableColumns count="4">
    <tableColumn id="1" name="Expense" dataDxfId="2275"/>
    <tableColumn id="2" name="Description" dataDxfId="2274"/>
    <tableColumn id="4" name="Label Name" dataDxfId="2273"/>
    <tableColumn id="5" name="Amount" dataDxfId="2272" dataCellStyle="20% - Accent6"/>
  </tableColumns>
  <tableStyleInfo name="TableStyleLight18" showFirstColumn="0" showLastColumn="0" showRowStripes="1" showColumnStripes="0"/>
</table>
</file>

<file path=xl/tables/table518.xml><?xml version="1.0" encoding="utf-8"?>
<table xmlns="http://schemas.openxmlformats.org/spreadsheetml/2006/main" id="518" name="Boarding_65" displayName="Boarding_65" ref="A87:D102" totalsRowShown="0" headerRowDxfId="2271" dataDxfId="2269" headerRowBorderDxfId="2270" tableBorderDxfId="2268" headerRowCellStyle="40% - Accent6">
  <autoFilter ref="A87:D102"/>
  <tableColumns count="4">
    <tableColumn id="1" name="Expense" dataDxfId="2267"/>
    <tableColumn id="2" name="Description" dataDxfId="2266"/>
    <tableColumn id="4" name="Label Name" dataDxfId="2265"/>
    <tableColumn id="5" name="Amount" dataDxfId="2264" dataCellStyle="40% - Accent6"/>
  </tableColumns>
  <tableStyleInfo name="TableStyleLight18" showFirstColumn="0" showLastColumn="0" showRowStripes="1" showColumnStripes="0"/>
</table>
</file>

<file path=xl/tables/table519.xml><?xml version="1.0" encoding="utf-8"?>
<table xmlns="http://schemas.openxmlformats.org/spreadsheetml/2006/main" id="519" name="Fence_65" displayName="Fence_65" ref="A106:D121" totalsRowShown="0" headerRowDxfId="2263" dataDxfId="2261" headerRowBorderDxfId="2262" tableBorderDxfId="2260" headerRowCellStyle="40% - Accent6">
  <autoFilter ref="A106:D121"/>
  <tableColumns count="4">
    <tableColumn id="1" name="Expense" dataDxfId="2259"/>
    <tableColumn id="2" name="Description" dataDxfId="2258"/>
    <tableColumn id="4" name="Label Name" dataDxfId="2257"/>
    <tableColumn id="5" name="Amount" dataDxfId="2256" dataCellStyle="40% - Accent6"/>
  </tableColumns>
  <tableStyleInfo name="TableStyleLight18" showFirstColumn="0" showLastColumn="0" showRowStripes="1" showColumnStripes="0"/>
</table>
</file>

<file path=xl/tables/table52.xml><?xml version="1.0" encoding="utf-8"?>
<table xmlns="http://schemas.openxmlformats.org/spreadsheetml/2006/main" id="117" name="Pest_7" displayName="Pest_7" ref="A49:D64" totalsRowShown="0" headerRowDxfId="5999" dataDxfId="5997" headerRowBorderDxfId="5998" tableBorderDxfId="5996" headerRowCellStyle="40% - Accent6">
  <autoFilter ref="A49:D64"/>
  <tableColumns count="4">
    <tableColumn id="1" name="Expense" dataDxfId="5995"/>
    <tableColumn id="2" name="Description" dataDxfId="5994"/>
    <tableColumn id="4" name="Label Name" dataDxfId="5993"/>
    <tableColumn id="5" name="Amount" dataDxfId="5992" dataCellStyle="40% - Accent6"/>
  </tableColumns>
  <tableStyleInfo name="TableStyleLight18" showFirstColumn="0" showLastColumn="0" showRowStripes="1" showColumnStripes="0"/>
</table>
</file>

<file path=xl/tables/table520.xml><?xml version="1.0" encoding="utf-8"?>
<table xmlns="http://schemas.openxmlformats.org/spreadsheetml/2006/main" id="520" name="Demolition_65" displayName="Demolition_65" ref="A125:D140" totalsRowShown="0" headerRowDxfId="2255" dataDxfId="2253" headerRowBorderDxfId="2254" tableBorderDxfId="2252" headerRowCellStyle="40% - Accent6">
  <autoFilter ref="A125:D140"/>
  <tableColumns count="4">
    <tableColumn id="1" name="Expense" dataDxfId="2251"/>
    <tableColumn id="2" name="Description" dataDxfId="2250"/>
    <tableColumn id="4" name="Label Name" dataDxfId="2249"/>
    <tableColumn id="5" name="Amount" dataDxfId="2248" dataCellStyle="40% - Accent6"/>
  </tableColumns>
  <tableStyleInfo name="TableStyleLight18" showFirstColumn="0" showLastColumn="0" showRowStripes="1" showColumnStripes="0"/>
</table>
</file>

<file path=xl/tables/table521.xml><?xml version="1.0" encoding="utf-8"?>
<table xmlns="http://schemas.openxmlformats.org/spreadsheetml/2006/main" id="521" name="Rehab_65" displayName="Rehab_65" ref="A144:D159" totalsRowShown="0" headerRowDxfId="2247" dataDxfId="2245" headerRowBorderDxfId="2246" tableBorderDxfId="2244" headerRowCellStyle="40% - Accent6">
  <autoFilter ref="A144:D159"/>
  <tableColumns count="4">
    <tableColumn id="1" name="Expense" dataDxfId="2243"/>
    <tableColumn id="2" name="Description" dataDxfId="2242"/>
    <tableColumn id="4" name="Label Name" dataDxfId="2241"/>
    <tableColumn id="5" name="Amount" dataDxfId="2240" dataCellStyle="40% - Accent6"/>
  </tableColumns>
  <tableStyleInfo name="TableStyleLight18" showFirstColumn="0" showLastColumn="0" showRowStripes="1" showColumnStripes="0"/>
</table>
</file>

<file path=xl/tables/table522.xml><?xml version="1.0" encoding="utf-8"?>
<table xmlns="http://schemas.openxmlformats.org/spreadsheetml/2006/main" id="522" name="Grass_66" displayName="Grass_66" ref="A11:D26" totalsRowShown="0" headerRowDxfId="2239" dataDxfId="2237" headerRowBorderDxfId="2238" tableBorderDxfId="2236" headerRowCellStyle="40% - Accent6">
  <autoFilter ref="A11:D26"/>
  <tableColumns count="4">
    <tableColumn id="1" name="Expense" dataDxfId="2235"/>
    <tableColumn id="2" name="Description" dataDxfId="2234"/>
    <tableColumn id="4" name="Label Name" dataDxfId="2233"/>
    <tableColumn id="5" name="Amount" dataDxfId="2232" dataCellStyle="20% - Accent6"/>
  </tableColumns>
  <tableStyleInfo name="TableStyleLight18" showFirstColumn="0" showLastColumn="0" showRowStripes="1" showColumnStripes="0"/>
</table>
</file>

<file path=xl/tables/table523.xml><?xml version="1.0" encoding="utf-8"?>
<table xmlns="http://schemas.openxmlformats.org/spreadsheetml/2006/main" id="523" name="Tree_66" displayName="Tree_66" ref="A30:D45" totalsRowShown="0" headerRowDxfId="2231" dataDxfId="2229" headerRowBorderDxfId="2230" tableBorderDxfId="2228" headerRowCellStyle="40% - Accent6">
  <autoFilter ref="A30:D45"/>
  <tableColumns count="4">
    <tableColumn id="1" name="Expense" dataDxfId="2227"/>
    <tableColumn id="2" name="Description" dataDxfId="2226"/>
    <tableColumn id="4" name="Label Name" dataDxfId="2225"/>
    <tableColumn id="5" name="Amount" dataDxfId="2224" dataCellStyle="40% - Accent6"/>
  </tableColumns>
  <tableStyleInfo name="TableStyleLight18" showFirstColumn="0" showLastColumn="0" showRowStripes="1" showColumnStripes="0"/>
</table>
</file>

<file path=xl/tables/table524.xml><?xml version="1.0" encoding="utf-8"?>
<table xmlns="http://schemas.openxmlformats.org/spreadsheetml/2006/main" id="524" name="Pest_66" displayName="Pest_66" ref="A49:D64" totalsRowShown="0" headerRowDxfId="2223" dataDxfId="2221" headerRowBorderDxfId="2222" tableBorderDxfId="2220" headerRowCellStyle="40% - Accent6">
  <autoFilter ref="A49:D64"/>
  <tableColumns count="4">
    <tableColumn id="1" name="Expense" dataDxfId="2219"/>
    <tableColumn id="2" name="Description" dataDxfId="2218"/>
    <tableColumn id="4" name="Label Name" dataDxfId="2217"/>
    <tableColumn id="5" name="Amount" dataDxfId="2216" dataCellStyle="40% - Accent6"/>
  </tableColumns>
  <tableStyleInfo name="TableStyleLight18" showFirstColumn="0" showLastColumn="0" showRowStripes="1" showColumnStripes="0"/>
</table>
</file>

<file path=xl/tables/table525.xml><?xml version="1.0" encoding="utf-8"?>
<table xmlns="http://schemas.openxmlformats.org/spreadsheetml/2006/main" id="525" name="Garbage_66" displayName="Garbage_66" ref="A68:D83" totalsRowShown="0" headerRowDxfId="2215" dataDxfId="2213" headerRowBorderDxfId="2214" tableBorderDxfId="2212" headerRowCellStyle="40% - Accent6">
  <autoFilter ref="A68:D83"/>
  <tableColumns count="4">
    <tableColumn id="1" name="Expense" dataDxfId="2211"/>
    <tableColumn id="2" name="Description" dataDxfId="2210"/>
    <tableColumn id="4" name="Label Name" dataDxfId="2209"/>
    <tableColumn id="5" name="Amount" dataDxfId="2208" dataCellStyle="20% - Accent6"/>
  </tableColumns>
  <tableStyleInfo name="TableStyleLight18" showFirstColumn="0" showLastColumn="0" showRowStripes="1" showColumnStripes="0"/>
</table>
</file>

<file path=xl/tables/table526.xml><?xml version="1.0" encoding="utf-8"?>
<table xmlns="http://schemas.openxmlformats.org/spreadsheetml/2006/main" id="526" name="Boarding_66" displayName="Boarding_66" ref="A87:D102" totalsRowShown="0" headerRowDxfId="2207" dataDxfId="2205" headerRowBorderDxfId="2206" tableBorderDxfId="2204" headerRowCellStyle="40% - Accent6">
  <autoFilter ref="A87:D102"/>
  <tableColumns count="4">
    <tableColumn id="1" name="Expense" dataDxfId="2203"/>
    <tableColumn id="2" name="Description" dataDxfId="2202"/>
    <tableColumn id="4" name="Label Name" dataDxfId="2201"/>
    <tableColumn id="5" name="Amount" dataDxfId="2200" dataCellStyle="40% - Accent6"/>
  </tableColumns>
  <tableStyleInfo name="TableStyleLight18" showFirstColumn="0" showLastColumn="0" showRowStripes="1" showColumnStripes="0"/>
</table>
</file>

<file path=xl/tables/table527.xml><?xml version="1.0" encoding="utf-8"?>
<table xmlns="http://schemas.openxmlformats.org/spreadsheetml/2006/main" id="527" name="Fence_66" displayName="Fence_66" ref="A106:D121" totalsRowShown="0" headerRowDxfId="2199" dataDxfId="2197" headerRowBorderDxfId="2198" tableBorderDxfId="2196" headerRowCellStyle="40% - Accent6">
  <autoFilter ref="A106:D121"/>
  <tableColumns count="4">
    <tableColumn id="1" name="Expense" dataDxfId="2195"/>
    <tableColumn id="2" name="Description" dataDxfId="2194"/>
    <tableColumn id="4" name="Label Name" dataDxfId="2193"/>
    <tableColumn id="5" name="Amount" dataDxfId="2192" dataCellStyle="40% - Accent6"/>
  </tableColumns>
  <tableStyleInfo name="TableStyleLight18" showFirstColumn="0" showLastColumn="0" showRowStripes="1" showColumnStripes="0"/>
</table>
</file>

<file path=xl/tables/table528.xml><?xml version="1.0" encoding="utf-8"?>
<table xmlns="http://schemas.openxmlformats.org/spreadsheetml/2006/main" id="528" name="Demolition_66" displayName="Demolition_66" ref="A125:D140" totalsRowShown="0" headerRowDxfId="2191" dataDxfId="2189" headerRowBorderDxfId="2190" tableBorderDxfId="2188" headerRowCellStyle="40% - Accent6">
  <autoFilter ref="A125:D140"/>
  <tableColumns count="4">
    <tableColumn id="1" name="Expense" dataDxfId="2187"/>
    <tableColumn id="2" name="Description" dataDxfId="2186"/>
    <tableColumn id="4" name="Label Name" dataDxfId="2185"/>
    <tableColumn id="5" name="Amount" dataDxfId="2184" dataCellStyle="40% - Accent6"/>
  </tableColumns>
  <tableStyleInfo name="TableStyleLight18" showFirstColumn="0" showLastColumn="0" showRowStripes="1" showColumnStripes="0"/>
</table>
</file>

<file path=xl/tables/table529.xml><?xml version="1.0" encoding="utf-8"?>
<table xmlns="http://schemas.openxmlformats.org/spreadsheetml/2006/main" id="529" name="Rehab_66" displayName="Rehab_66" ref="A144:D159" totalsRowShown="0" headerRowDxfId="2183" dataDxfId="2181" headerRowBorderDxfId="2182" tableBorderDxfId="2180" headerRowCellStyle="40% - Accent6">
  <autoFilter ref="A144:D159"/>
  <tableColumns count="4">
    <tableColumn id="1" name="Expense" dataDxfId="2179"/>
    <tableColumn id="2" name="Description" dataDxfId="2178"/>
    <tableColumn id="4" name="Label Name" dataDxfId="2177"/>
    <tableColumn id="5" name="Amount" dataDxfId="2176" dataCellStyle="40% - Accent6"/>
  </tableColumns>
  <tableStyleInfo name="TableStyleLight18" showFirstColumn="0" showLastColumn="0" showRowStripes="1" showColumnStripes="0"/>
</table>
</file>

<file path=xl/tables/table53.xml><?xml version="1.0" encoding="utf-8"?>
<table xmlns="http://schemas.openxmlformats.org/spreadsheetml/2006/main" id="118" name="Garbage_7" displayName="Garbage_7" ref="A68:D83" totalsRowShown="0" headerRowDxfId="5991" dataDxfId="5989" headerRowBorderDxfId="5990" tableBorderDxfId="5988" headerRowCellStyle="40% - Accent6">
  <autoFilter ref="A68:D83"/>
  <tableColumns count="4">
    <tableColumn id="1" name="Expense" dataDxfId="5987"/>
    <tableColumn id="2" name="Description" dataDxfId="5986"/>
    <tableColumn id="4" name="Label Name" dataDxfId="5985"/>
    <tableColumn id="5" name="Amount" dataDxfId="5984" dataCellStyle="20% - Accent6"/>
  </tableColumns>
  <tableStyleInfo name="TableStyleLight18" showFirstColumn="0" showLastColumn="0" showRowStripes="1" showColumnStripes="0"/>
</table>
</file>

<file path=xl/tables/table530.xml><?xml version="1.0" encoding="utf-8"?>
<table xmlns="http://schemas.openxmlformats.org/spreadsheetml/2006/main" id="530" name="Grass_67" displayName="Grass_67" ref="A11:D26" totalsRowShown="0" headerRowDxfId="2175" dataDxfId="2173" headerRowBorderDxfId="2174" tableBorderDxfId="2172" headerRowCellStyle="40% - Accent6">
  <autoFilter ref="A11:D26"/>
  <tableColumns count="4">
    <tableColumn id="1" name="Expense" dataDxfId="2171"/>
    <tableColumn id="2" name="Description" dataDxfId="2170"/>
    <tableColumn id="4" name="Label Name" dataDxfId="2169"/>
    <tableColumn id="5" name="Amount" dataDxfId="2168" dataCellStyle="20% - Accent6"/>
  </tableColumns>
  <tableStyleInfo name="TableStyleLight18" showFirstColumn="0" showLastColumn="0" showRowStripes="1" showColumnStripes="0"/>
</table>
</file>

<file path=xl/tables/table531.xml><?xml version="1.0" encoding="utf-8"?>
<table xmlns="http://schemas.openxmlformats.org/spreadsheetml/2006/main" id="531" name="Tree_67" displayName="Tree_67" ref="A30:D45" totalsRowShown="0" headerRowDxfId="2167" dataDxfId="2165" headerRowBorderDxfId="2166" tableBorderDxfId="2164" headerRowCellStyle="40% - Accent6">
  <autoFilter ref="A30:D45"/>
  <tableColumns count="4">
    <tableColumn id="1" name="Expense" dataDxfId="2163"/>
    <tableColumn id="2" name="Description" dataDxfId="2162"/>
    <tableColumn id="4" name="Label Name" dataDxfId="2161"/>
    <tableColumn id="5" name="Amount" dataDxfId="2160" dataCellStyle="40% - Accent6"/>
  </tableColumns>
  <tableStyleInfo name="TableStyleLight18" showFirstColumn="0" showLastColumn="0" showRowStripes="1" showColumnStripes="0"/>
</table>
</file>

<file path=xl/tables/table532.xml><?xml version="1.0" encoding="utf-8"?>
<table xmlns="http://schemas.openxmlformats.org/spreadsheetml/2006/main" id="532" name="Pest_67" displayName="Pest_67" ref="A49:D64" totalsRowShown="0" headerRowDxfId="2159" dataDxfId="2157" headerRowBorderDxfId="2158" tableBorderDxfId="2156" headerRowCellStyle="40% - Accent6">
  <autoFilter ref="A49:D64"/>
  <tableColumns count="4">
    <tableColumn id="1" name="Expense" dataDxfId="2155"/>
    <tableColumn id="2" name="Description" dataDxfId="2154"/>
    <tableColumn id="4" name="Label Name" dataDxfId="2153"/>
    <tableColumn id="5" name="Amount" dataDxfId="2152" dataCellStyle="40% - Accent6"/>
  </tableColumns>
  <tableStyleInfo name="TableStyleLight18" showFirstColumn="0" showLastColumn="0" showRowStripes="1" showColumnStripes="0"/>
</table>
</file>

<file path=xl/tables/table533.xml><?xml version="1.0" encoding="utf-8"?>
<table xmlns="http://schemas.openxmlformats.org/spreadsheetml/2006/main" id="533" name="Garbage_67" displayName="Garbage_67" ref="A68:D83" totalsRowShown="0" headerRowDxfId="2151" dataDxfId="2149" headerRowBorderDxfId="2150" tableBorderDxfId="2148" headerRowCellStyle="40% - Accent6">
  <autoFilter ref="A68:D83"/>
  <tableColumns count="4">
    <tableColumn id="1" name="Expense" dataDxfId="2147"/>
    <tableColumn id="2" name="Description" dataDxfId="2146"/>
    <tableColumn id="4" name="Label Name" dataDxfId="2145"/>
    <tableColumn id="5" name="Amount" dataDxfId="2144" dataCellStyle="20% - Accent6"/>
  </tableColumns>
  <tableStyleInfo name="TableStyleLight18" showFirstColumn="0" showLastColumn="0" showRowStripes="1" showColumnStripes="0"/>
</table>
</file>

<file path=xl/tables/table534.xml><?xml version="1.0" encoding="utf-8"?>
<table xmlns="http://schemas.openxmlformats.org/spreadsheetml/2006/main" id="534" name="Boarding_67" displayName="Boarding_67" ref="A87:D102" totalsRowShown="0" headerRowDxfId="2143" dataDxfId="2141" headerRowBorderDxfId="2142" tableBorderDxfId="2140" headerRowCellStyle="40% - Accent6">
  <autoFilter ref="A87:D102"/>
  <tableColumns count="4">
    <tableColumn id="1" name="Expense" dataDxfId="2139"/>
    <tableColumn id="2" name="Description" dataDxfId="2138"/>
    <tableColumn id="4" name="Label Name" dataDxfId="2137"/>
    <tableColumn id="5" name="Amount" dataDxfId="2136" dataCellStyle="40% - Accent6"/>
  </tableColumns>
  <tableStyleInfo name="TableStyleLight18" showFirstColumn="0" showLastColumn="0" showRowStripes="1" showColumnStripes="0"/>
</table>
</file>

<file path=xl/tables/table535.xml><?xml version="1.0" encoding="utf-8"?>
<table xmlns="http://schemas.openxmlformats.org/spreadsheetml/2006/main" id="535" name="Fence_67" displayName="Fence_67" ref="A106:D121" totalsRowShown="0" headerRowDxfId="2135" dataDxfId="2133" headerRowBorderDxfId="2134" tableBorderDxfId="2132" headerRowCellStyle="40% - Accent6">
  <autoFilter ref="A106:D121"/>
  <tableColumns count="4">
    <tableColumn id="1" name="Expense" dataDxfId="2131"/>
    <tableColumn id="2" name="Description" dataDxfId="2130"/>
    <tableColumn id="4" name="Label Name" dataDxfId="2129"/>
    <tableColumn id="5" name="Amount" dataDxfId="2128" dataCellStyle="40% - Accent6"/>
  </tableColumns>
  <tableStyleInfo name="TableStyleLight18" showFirstColumn="0" showLastColumn="0" showRowStripes="1" showColumnStripes="0"/>
</table>
</file>

<file path=xl/tables/table536.xml><?xml version="1.0" encoding="utf-8"?>
<table xmlns="http://schemas.openxmlformats.org/spreadsheetml/2006/main" id="536" name="Demolition_67" displayName="Demolition_67" ref="A125:D140" totalsRowShown="0" headerRowDxfId="2127" dataDxfId="2125" headerRowBorderDxfId="2126" tableBorderDxfId="2124" headerRowCellStyle="40% - Accent6">
  <autoFilter ref="A125:D140"/>
  <tableColumns count="4">
    <tableColumn id="1" name="Expense" dataDxfId="2123"/>
    <tableColumn id="2" name="Description" dataDxfId="2122"/>
    <tableColumn id="4" name="Label Name" dataDxfId="2121"/>
    <tableColumn id="5" name="Amount" dataDxfId="2120" dataCellStyle="40% - Accent6"/>
  </tableColumns>
  <tableStyleInfo name="TableStyleLight18" showFirstColumn="0" showLastColumn="0" showRowStripes="1" showColumnStripes="0"/>
</table>
</file>

<file path=xl/tables/table537.xml><?xml version="1.0" encoding="utf-8"?>
<table xmlns="http://schemas.openxmlformats.org/spreadsheetml/2006/main" id="537" name="Rehab_67" displayName="Rehab_67" ref="A144:D159" totalsRowShown="0" headerRowDxfId="2119" dataDxfId="2117" headerRowBorderDxfId="2118" tableBorderDxfId="2116" headerRowCellStyle="40% - Accent6">
  <autoFilter ref="A144:D159"/>
  <tableColumns count="4">
    <tableColumn id="1" name="Expense" dataDxfId="2115"/>
    <tableColumn id="2" name="Description" dataDxfId="2114"/>
    <tableColumn id="4" name="Label Name" dataDxfId="2113"/>
    <tableColumn id="5" name="Amount" dataDxfId="2112" dataCellStyle="40% - Accent6"/>
  </tableColumns>
  <tableStyleInfo name="TableStyleLight18" showFirstColumn="0" showLastColumn="0" showRowStripes="1" showColumnStripes="0"/>
</table>
</file>

<file path=xl/tables/table538.xml><?xml version="1.0" encoding="utf-8"?>
<table xmlns="http://schemas.openxmlformats.org/spreadsheetml/2006/main" id="538" name="Grass_68" displayName="Grass_68" ref="A11:D26" totalsRowShown="0" headerRowDxfId="2111" dataDxfId="2109" headerRowBorderDxfId="2110" tableBorderDxfId="2108" headerRowCellStyle="40% - Accent6">
  <autoFilter ref="A11:D26"/>
  <tableColumns count="4">
    <tableColumn id="1" name="Expense" dataDxfId="2107"/>
    <tableColumn id="2" name="Description" dataDxfId="2106"/>
    <tableColumn id="4" name="Label Name" dataDxfId="2105"/>
    <tableColumn id="5" name="Amount" dataDxfId="2104" dataCellStyle="20% - Accent6"/>
  </tableColumns>
  <tableStyleInfo name="TableStyleLight18" showFirstColumn="0" showLastColumn="0" showRowStripes="1" showColumnStripes="0"/>
</table>
</file>

<file path=xl/tables/table539.xml><?xml version="1.0" encoding="utf-8"?>
<table xmlns="http://schemas.openxmlformats.org/spreadsheetml/2006/main" id="539" name="Tree_68" displayName="Tree_68" ref="A30:D45" totalsRowShown="0" headerRowDxfId="2103" dataDxfId="2101" headerRowBorderDxfId="2102" tableBorderDxfId="2100" headerRowCellStyle="40% - Accent6">
  <autoFilter ref="A30:D45"/>
  <tableColumns count="4">
    <tableColumn id="1" name="Expense" dataDxfId="2099"/>
    <tableColumn id="2" name="Description" dataDxfId="2098"/>
    <tableColumn id="4" name="Label Name" dataDxfId="2097"/>
    <tableColumn id="5" name="Amount" dataDxfId="2096" dataCellStyle="40% - Accent6"/>
  </tableColumns>
  <tableStyleInfo name="TableStyleLight18" showFirstColumn="0" showLastColumn="0" showRowStripes="1" showColumnStripes="0"/>
</table>
</file>

<file path=xl/tables/table54.xml><?xml version="1.0" encoding="utf-8"?>
<table xmlns="http://schemas.openxmlformats.org/spreadsheetml/2006/main" id="119" name="Boarding_7" displayName="Boarding_7" ref="A87:D102" totalsRowShown="0" headerRowDxfId="5983" dataDxfId="5981" headerRowBorderDxfId="5982" tableBorderDxfId="5980" headerRowCellStyle="40% - Accent6">
  <autoFilter ref="A87:D102"/>
  <tableColumns count="4">
    <tableColumn id="1" name="Expense" dataDxfId="5979"/>
    <tableColumn id="2" name="Description" dataDxfId="5978"/>
    <tableColumn id="4" name="Label Name" dataDxfId="5977"/>
    <tableColumn id="5" name="Amount" dataDxfId="5976" dataCellStyle="40% - Accent6"/>
  </tableColumns>
  <tableStyleInfo name="TableStyleLight18" showFirstColumn="0" showLastColumn="0" showRowStripes="1" showColumnStripes="0"/>
</table>
</file>

<file path=xl/tables/table540.xml><?xml version="1.0" encoding="utf-8"?>
<table xmlns="http://schemas.openxmlformats.org/spreadsheetml/2006/main" id="540" name="Pest_68" displayName="Pest_68" ref="A49:D64" totalsRowShown="0" headerRowDxfId="2095" dataDxfId="2093" headerRowBorderDxfId="2094" tableBorderDxfId="2092" headerRowCellStyle="40% - Accent6">
  <autoFilter ref="A49:D64"/>
  <tableColumns count="4">
    <tableColumn id="1" name="Expense" dataDxfId="2091"/>
    <tableColumn id="2" name="Description" dataDxfId="2090"/>
    <tableColumn id="4" name="Label Name" dataDxfId="2089"/>
    <tableColumn id="5" name="Amount" dataDxfId="2088" dataCellStyle="40% - Accent6"/>
  </tableColumns>
  <tableStyleInfo name="TableStyleLight18" showFirstColumn="0" showLastColumn="0" showRowStripes="1" showColumnStripes="0"/>
</table>
</file>

<file path=xl/tables/table541.xml><?xml version="1.0" encoding="utf-8"?>
<table xmlns="http://schemas.openxmlformats.org/spreadsheetml/2006/main" id="541" name="Garbage_68" displayName="Garbage_68" ref="A68:D83" totalsRowShown="0" headerRowDxfId="2087" dataDxfId="2085" headerRowBorderDxfId="2086" tableBorderDxfId="2084" headerRowCellStyle="40% - Accent6">
  <autoFilter ref="A68:D83"/>
  <tableColumns count="4">
    <tableColumn id="1" name="Expense" dataDxfId="2083"/>
    <tableColumn id="2" name="Description" dataDxfId="2082"/>
    <tableColumn id="4" name="Label Name" dataDxfId="2081"/>
    <tableColumn id="5" name="Amount" dataDxfId="2080" dataCellStyle="20% - Accent6"/>
  </tableColumns>
  <tableStyleInfo name="TableStyleLight18" showFirstColumn="0" showLastColumn="0" showRowStripes="1" showColumnStripes="0"/>
</table>
</file>

<file path=xl/tables/table542.xml><?xml version="1.0" encoding="utf-8"?>
<table xmlns="http://schemas.openxmlformats.org/spreadsheetml/2006/main" id="542" name="Boarding_68" displayName="Boarding_68" ref="A87:D102" totalsRowShown="0" headerRowDxfId="2079" dataDxfId="2077" headerRowBorderDxfId="2078" tableBorderDxfId="2076" headerRowCellStyle="40% - Accent6">
  <autoFilter ref="A87:D102"/>
  <tableColumns count="4">
    <tableColumn id="1" name="Expense" dataDxfId="2075"/>
    <tableColumn id="2" name="Description" dataDxfId="2074"/>
    <tableColumn id="4" name="Label Name" dataDxfId="2073"/>
    <tableColumn id="5" name="Amount" dataDxfId="2072" dataCellStyle="40% - Accent6"/>
  </tableColumns>
  <tableStyleInfo name="TableStyleLight18" showFirstColumn="0" showLastColumn="0" showRowStripes="1" showColumnStripes="0"/>
</table>
</file>

<file path=xl/tables/table543.xml><?xml version="1.0" encoding="utf-8"?>
<table xmlns="http://schemas.openxmlformats.org/spreadsheetml/2006/main" id="543" name="Fence_68" displayName="Fence_68" ref="A106:D121" totalsRowShown="0" headerRowDxfId="2071" dataDxfId="2069" headerRowBorderDxfId="2070" tableBorderDxfId="2068" headerRowCellStyle="40% - Accent6">
  <autoFilter ref="A106:D121"/>
  <tableColumns count="4">
    <tableColumn id="1" name="Expense" dataDxfId="2067"/>
    <tableColumn id="2" name="Description" dataDxfId="2066"/>
    <tableColumn id="4" name="Label Name" dataDxfId="2065"/>
    <tableColumn id="5" name="Amount" dataDxfId="2064" dataCellStyle="40% - Accent6"/>
  </tableColumns>
  <tableStyleInfo name="TableStyleLight18" showFirstColumn="0" showLastColumn="0" showRowStripes="1" showColumnStripes="0"/>
</table>
</file>

<file path=xl/tables/table544.xml><?xml version="1.0" encoding="utf-8"?>
<table xmlns="http://schemas.openxmlformats.org/spreadsheetml/2006/main" id="544" name="Demolition_68" displayName="Demolition_68" ref="A125:D140" totalsRowShown="0" headerRowDxfId="2063" dataDxfId="2061" headerRowBorderDxfId="2062" tableBorderDxfId="2060" headerRowCellStyle="40% - Accent6">
  <autoFilter ref="A125:D140"/>
  <tableColumns count="4">
    <tableColumn id="1" name="Expense" dataDxfId="2059"/>
    <tableColumn id="2" name="Description" dataDxfId="2058"/>
    <tableColumn id="4" name="Label Name" dataDxfId="2057"/>
    <tableColumn id="5" name="Amount" dataDxfId="2056" dataCellStyle="40% - Accent6"/>
  </tableColumns>
  <tableStyleInfo name="TableStyleLight18" showFirstColumn="0" showLastColumn="0" showRowStripes="1" showColumnStripes="0"/>
</table>
</file>

<file path=xl/tables/table545.xml><?xml version="1.0" encoding="utf-8"?>
<table xmlns="http://schemas.openxmlformats.org/spreadsheetml/2006/main" id="545" name="Rehab_68" displayName="Rehab_68" ref="A144:D159" totalsRowShown="0" headerRowDxfId="2055" dataDxfId="2053" headerRowBorderDxfId="2054" tableBorderDxfId="2052" headerRowCellStyle="40% - Accent6">
  <autoFilter ref="A144:D159"/>
  <tableColumns count="4">
    <tableColumn id="1" name="Expense" dataDxfId="2051"/>
    <tableColumn id="2" name="Description" dataDxfId="2050"/>
    <tableColumn id="4" name="Label Name" dataDxfId="2049"/>
    <tableColumn id="5" name="Amount" dataDxfId="2048" dataCellStyle="40% - Accent6"/>
  </tableColumns>
  <tableStyleInfo name="TableStyleLight18" showFirstColumn="0" showLastColumn="0" showRowStripes="1" showColumnStripes="0"/>
</table>
</file>

<file path=xl/tables/table546.xml><?xml version="1.0" encoding="utf-8"?>
<table xmlns="http://schemas.openxmlformats.org/spreadsheetml/2006/main" id="546" name="Grass_69" displayName="Grass_69" ref="A11:D26" totalsRowShown="0" headerRowDxfId="2047" dataDxfId="2045" headerRowBorderDxfId="2046" tableBorderDxfId="2044" headerRowCellStyle="40% - Accent6">
  <autoFilter ref="A11:D26"/>
  <tableColumns count="4">
    <tableColumn id="1" name="Expense" dataDxfId="2043"/>
    <tableColumn id="2" name="Description" dataDxfId="2042"/>
    <tableColumn id="4" name="Label Name" dataDxfId="2041"/>
    <tableColumn id="5" name="Amount" dataDxfId="2040" dataCellStyle="20% - Accent6"/>
  </tableColumns>
  <tableStyleInfo name="TableStyleLight18" showFirstColumn="0" showLastColumn="0" showRowStripes="1" showColumnStripes="0"/>
</table>
</file>

<file path=xl/tables/table547.xml><?xml version="1.0" encoding="utf-8"?>
<table xmlns="http://schemas.openxmlformats.org/spreadsheetml/2006/main" id="547" name="Tree_69" displayName="Tree_69" ref="A30:D45" totalsRowShown="0" headerRowDxfId="2039" dataDxfId="2037" headerRowBorderDxfId="2038" tableBorderDxfId="2036" headerRowCellStyle="40% - Accent6">
  <autoFilter ref="A30:D45"/>
  <tableColumns count="4">
    <tableColumn id="1" name="Expense" dataDxfId="2035"/>
    <tableColumn id="2" name="Description" dataDxfId="2034"/>
    <tableColumn id="4" name="Label Name" dataDxfId="2033"/>
    <tableColumn id="5" name="Amount" dataDxfId="2032" dataCellStyle="40% - Accent6"/>
  </tableColumns>
  <tableStyleInfo name="TableStyleLight18" showFirstColumn="0" showLastColumn="0" showRowStripes="1" showColumnStripes="0"/>
</table>
</file>

<file path=xl/tables/table548.xml><?xml version="1.0" encoding="utf-8"?>
<table xmlns="http://schemas.openxmlformats.org/spreadsheetml/2006/main" id="548" name="Pest_69" displayName="Pest_69" ref="A49:D64" totalsRowShown="0" headerRowDxfId="2031" dataDxfId="2029" headerRowBorderDxfId="2030" tableBorderDxfId="2028" headerRowCellStyle="40% - Accent6">
  <autoFilter ref="A49:D64"/>
  <tableColumns count="4">
    <tableColumn id="1" name="Expense" dataDxfId="2027"/>
    <tableColumn id="2" name="Description" dataDxfId="2026"/>
    <tableColumn id="4" name="Label Name" dataDxfId="2025"/>
    <tableColumn id="5" name="Amount" dataDxfId="2024" dataCellStyle="40% - Accent6"/>
  </tableColumns>
  <tableStyleInfo name="TableStyleLight18" showFirstColumn="0" showLastColumn="0" showRowStripes="1" showColumnStripes="0"/>
</table>
</file>

<file path=xl/tables/table549.xml><?xml version="1.0" encoding="utf-8"?>
<table xmlns="http://schemas.openxmlformats.org/spreadsheetml/2006/main" id="549" name="Garbage_69" displayName="Garbage_69" ref="A68:D83" totalsRowShown="0" headerRowDxfId="2023" dataDxfId="2021" headerRowBorderDxfId="2022" tableBorderDxfId="2020" headerRowCellStyle="40% - Accent6">
  <autoFilter ref="A68:D83"/>
  <tableColumns count="4">
    <tableColumn id="1" name="Expense" dataDxfId="2019"/>
    <tableColumn id="2" name="Description" dataDxfId="2018"/>
    <tableColumn id="4" name="Label Name" dataDxfId="2017"/>
    <tableColumn id="5" name="Amount" dataDxfId="2016" dataCellStyle="20% - Accent6"/>
  </tableColumns>
  <tableStyleInfo name="TableStyleLight18" showFirstColumn="0" showLastColumn="0" showRowStripes="1" showColumnStripes="0"/>
</table>
</file>

<file path=xl/tables/table55.xml><?xml version="1.0" encoding="utf-8"?>
<table xmlns="http://schemas.openxmlformats.org/spreadsheetml/2006/main" id="120" name="Fence_7" displayName="Fence_7" ref="A106:D121" totalsRowShown="0" headerRowDxfId="5975" dataDxfId="5973" headerRowBorderDxfId="5974" tableBorderDxfId="5972" headerRowCellStyle="40% - Accent6">
  <autoFilter ref="A106:D121"/>
  <tableColumns count="4">
    <tableColumn id="1" name="Expense" dataDxfId="5971"/>
    <tableColumn id="2" name="Description" dataDxfId="5970"/>
    <tableColumn id="4" name="Label Name" dataDxfId="5969"/>
    <tableColumn id="5" name="Amount" dataDxfId="5968" dataCellStyle="40% - Accent6"/>
  </tableColumns>
  <tableStyleInfo name="TableStyleLight18" showFirstColumn="0" showLastColumn="0" showRowStripes="1" showColumnStripes="0"/>
</table>
</file>

<file path=xl/tables/table550.xml><?xml version="1.0" encoding="utf-8"?>
<table xmlns="http://schemas.openxmlformats.org/spreadsheetml/2006/main" id="550" name="Boarding_69" displayName="Boarding_69" ref="A87:D102" totalsRowShown="0" headerRowDxfId="2015" dataDxfId="2013" headerRowBorderDxfId="2014" tableBorderDxfId="2012" headerRowCellStyle="40% - Accent6">
  <autoFilter ref="A87:D102"/>
  <tableColumns count="4">
    <tableColumn id="1" name="Expense" dataDxfId="2011"/>
    <tableColumn id="2" name="Description" dataDxfId="2010"/>
    <tableColumn id="4" name="Label Name" dataDxfId="2009"/>
    <tableColumn id="5" name="Amount" dataDxfId="2008" dataCellStyle="40% - Accent6"/>
  </tableColumns>
  <tableStyleInfo name="TableStyleLight18" showFirstColumn="0" showLastColumn="0" showRowStripes="1" showColumnStripes="0"/>
</table>
</file>

<file path=xl/tables/table551.xml><?xml version="1.0" encoding="utf-8"?>
<table xmlns="http://schemas.openxmlformats.org/spreadsheetml/2006/main" id="551" name="Fence_69" displayName="Fence_69" ref="A106:D121" totalsRowShown="0" headerRowDxfId="2007" dataDxfId="2005" headerRowBorderDxfId="2006" tableBorderDxfId="2004" headerRowCellStyle="40% - Accent6">
  <autoFilter ref="A106:D121"/>
  <tableColumns count="4">
    <tableColumn id="1" name="Expense" dataDxfId="2003"/>
    <tableColumn id="2" name="Description" dataDxfId="2002"/>
    <tableColumn id="4" name="Label Name" dataDxfId="2001"/>
    <tableColumn id="5" name="Amount" dataDxfId="2000" dataCellStyle="40% - Accent6"/>
  </tableColumns>
  <tableStyleInfo name="TableStyleLight18" showFirstColumn="0" showLastColumn="0" showRowStripes="1" showColumnStripes="0"/>
</table>
</file>

<file path=xl/tables/table552.xml><?xml version="1.0" encoding="utf-8"?>
<table xmlns="http://schemas.openxmlformats.org/spreadsheetml/2006/main" id="552" name="Demolition_69" displayName="Demolition_69" ref="A125:D140" totalsRowShown="0" headerRowDxfId="1999" dataDxfId="1997" headerRowBorderDxfId="1998" tableBorderDxfId="1996" headerRowCellStyle="40% - Accent6">
  <autoFilter ref="A125:D140"/>
  <tableColumns count="4">
    <tableColumn id="1" name="Expense" dataDxfId="1995"/>
    <tableColumn id="2" name="Description" dataDxfId="1994"/>
    <tableColumn id="4" name="Label Name" dataDxfId="1993"/>
    <tableColumn id="5" name="Amount" dataDxfId="1992" dataCellStyle="40% - Accent6"/>
  </tableColumns>
  <tableStyleInfo name="TableStyleLight18" showFirstColumn="0" showLastColumn="0" showRowStripes="1" showColumnStripes="0"/>
</table>
</file>

<file path=xl/tables/table553.xml><?xml version="1.0" encoding="utf-8"?>
<table xmlns="http://schemas.openxmlformats.org/spreadsheetml/2006/main" id="553" name="Rehab_69" displayName="Rehab_69" ref="A144:D159" totalsRowShown="0" headerRowDxfId="1991" dataDxfId="1989" headerRowBorderDxfId="1990" tableBorderDxfId="1988" headerRowCellStyle="40% - Accent6">
  <autoFilter ref="A144:D159"/>
  <tableColumns count="4">
    <tableColumn id="1" name="Expense" dataDxfId="1987"/>
    <tableColumn id="2" name="Description" dataDxfId="1986"/>
    <tableColumn id="4" name="Label Name" dataDxfId="1985"/>
    <tableColumn id="5" name="Amount" dataDxfId="1984" dataCellStyle="40% - Accent6"/>
  </tableColumns>
  <tableStyleInfo name="TableStyleLight18" showFirstColumn="0" showLastColumn="0" showRowStripes="1" showColumnStripes="0"/>
</table>
</file>

<file path=xl/tables/table554.xml><?xml version="1.0" encoding="utf-8"?>
<table xmlns="http://schemas.openxmlformats.org/spreadsheetml/2006/main" id="554" name="Grass_70" displayName="Grass_70" ref="A11:D26" totalsRowShown="0" headerRowDxfId="1983" dataDxfId="1981" headerRowBorderDxfId="1982" tableBorderDxfId="1980" headerRowCellStyle="40% - Accent6">
  <autoFilter ref="A11:D26"/>
  <tableColumns count="4">
    <tableColumn id="1" name="Expense" dataDxfId="1979"/>
    <tableColumn id="2" name="Description" dataDxfId="1978"/>
    <tableColumn id="4" name="Label Name" dataDxfId="1977"/>
    <tableColumn id="5" name="Amount" dataDxfId="1976" dataCellStyle="20% - Accent6"/>
  </tableColumns>
  <tableStyleInfo name="TableStyleLight18" showFirstColumn="0" showLastColumn="0" showRowStripes="1" showColumnStripes="0"/>
</table>
</file>

<file path=xl/tables/table555.xml><?xml version="1.0" encoding="utf-8"?>
<table xmlns="http://schemas.openxmlformats.org/spreadsheetml/2006/main" id="555" name="Tree_70" displayName="Tree_70" ref="A30:D45" totalsRowShown="0" headerRowDxfId="1975" dataDxfId="1973" headerRowBorderDxfId="1974" tableBorderDxfId="1972" headerRowCellStyle="40% - Accent6">
  <autoFilter ref="A30:D45"/>
  <tableColumns count="4">
    <tableColumn id="1" name="Expense" dataDxfId="1971"/>
    <tableColumn id="2" name="Description" dataDxfId="1970"/>
    <tableColumn id="4" name="Label Name" dataDxfId="1969"/>
    <tableColumn id="5" name="Amount" dataDxfId="1968" dataCellStyle="40% - Accent6"/>
  </tableColumns>
  <tableStyleInfo name="TableStyleLight18" showFirstColumn="0" showLastColumn="0" showRowStripes="1" showColumnStripes="0"/>
</table>
</file>

<file path=xl/tables/table556.xml><?xml version="1.0" encoding="utf-8"?>
<table xmlns="http://schemas.openxmlformats.org/spreadsheetml/2006/main" id="556" name="Pest_70" displayName="Pest_70" ref="A49:D64" totalsRowShown="0" headerRowDxfId="1967" dataDxfId="1965" headerRowBorderDxfId="1966" tableBorderDxfId="1964" headerRowCellStyle="40% - Accent6">
  <autoFilter ref="A49:D64"/>
  <tableColumns count="4">
    <tableColumn id="1" name="Expense" dataDxfId="1963"/>
    <tableColumn id="2" name="Description" dataDxfId="1962"/>
    <tableColumn id="4" name="Label Name" dataDxfId="1961"/>
    <tableColumn id="5" name="Amount" dataDxfId="1960" dataCellStyle="40% - Accent6"/>
  </tableColumns>
  <tableStyleInfo name="TableStyleLight18" showFirstColumn="0" showLastColumn="0" showRowStripes="1" showColumnStripes="0"/>
</table>
</file>

<file path=xl/tables/table557.xml><?xml version="1.0" encoding="utf-8"?>
<table xmlns="http://schemas.openxmlformats.org/spreadsheetml/2006/main" id="557" name="Garbage_70" displayName="Garbage_70" ref="A68:D83" totalsRowShown="0" headerRowDxfId="1959" dataDxfId="1957" headerRowBorderDxfId="1958" tableBorderDxfId="1956" headerRowCellStyle="40% - Accent6">
  <autoFilter ref="A68:D83"/>
  <tableColumns count="4">
    <tableColumn id="1" name="Expense" dataDxfId="1955"/>
    <tableColumn id="2" name="Description" dataDxfId="1954"/>
    <tableColumn id="4" name="Label Name" dataDxfId="1953"/>
    <tableColumn id="5" name="Amount" dataDxfId="1952" dataCellStyle="20% - Accent6"/>
  </tableColumns>
  <tableStyleInfo name="TableStyleLight18" showFirstColumn="0" showLastColumn="0" showRowStripes="1" showColumnStripes="0"/>
</table>
</file>

<file path=xl/tables/table558.xml><?xml version="1.0" encoding="utf-8"?>
<table xmlns="http://schemas.openxmlformats.org/spreadsheetml/2006/main" id="558" name="Boarding_70" displayName="Boarding_70" ref="A87:D102" totalsRowShown="0" headerRowDxfId="1951" dataDxfId="1949" headerRowBorderDxfId="1950" tableBorderDxfId="1948" headerRowCellStyle="40% - Accent6">
  <autoFilter ref="A87:D102"/>
  <tableColumns count="4">
    <tableColumn id="1" name="Expense" dataDxfId="1947"/>
    <tableColumn id="2" name="Description" dataDxfId="1946"/>
    <tableColumn id="4" name="Label Name" dataDxfId="1945"/>
    <tableColumn id="5" name="Amount" dataDxfId="1944" dataCellStyle="40% - Accent6"/>
  </tableColumns>
  <tableStyleInfo name="TableStyleLight18" showFirstColumn="0" showLastColumn="0" showRowStripes="1" showColumnStripes="0"/>
</table>
</file>

<file path=xl/tables/table559.xml><?xml version="1.0" encoding="utf-8"?>
<table xmlns="http://schemas.openxmlformats.org/spreadsheetml/2006/main" id="559" name="Fence_70" displayName="Fence_70" ref="A106:D121" totalsRowShown="0" headerRowDxfId="1943" dataDxfId="1941" headerRowBorderDxfId="1942" tableBorderDxfId="1940" headerRowCellStyle="40% - Accent6">
  <autoFilter ref="A106:D121"/>
  <tableColumns count="4">
    <tableColumn id="1" name="Expense" dataDxfId="1939"/>
    <tableColumn id="2" name="Description" dataDxfId="1938"/>
    <tableColumn id="4" name="Label Name" dataDxfId="1937"/>
    <tableColumn id="5" name="Amount" dataDxfId="1936" dataCellStyle="40% - Accent6"/>
  </tableColumns>
  <tableStyleInfo name="TableStyleLight18" showFirstColumn="0" showLastColumn="0" showRowStripes="1" showColumnStripes="0"/>
</table>
</file>

<file path=xl/tables/table56.xml><?xml version="1.0" encoding="utf-8"?>
<table xmlns="http://schemas.openxmlformats.org/spreadsheetml/2006/main" id="121" name="Demolition_7" displayName="Demolition_7" ref="A125:D140" totalsRowShown="0" headerRowDxfId="5967" dataDxfId="5965" headerRowBorderDxfId="5966" tableBorderDxfId="5964" headerRowCellStyle="40% - Accent6">
  <autoFilter ref="A125:D140"/>
  <tableColumns count="4">
    <tableColumn id="1" name="Expense" dataDxfId="5963"/>
    <tableColumn id="2" name="Description" dataDxfId="5962"/>
    <tableColumn id="4" name="Label Name" dataDxfId="5961"/>
    <tableColumn id="5" name="Amount" dataDxfId="5960" dataCellStyle="40% - Accent6"/>
  </tableColumns>
  <tableStyleInfo name="TableStyleLight18" showFirstColumn="0" showLastColumn="0" showRowStripes="1" showColumnStripes="0"/>
</table>
</file>

<file path=xl/tables/table560.xml><?xml version="1.0" encoding="utf-8"?>
<table xmlns="http://schemas.openxmlformats.org/spreadsheetml/2006/main" id="560" name="Demolition_70" displayName="Demolition_70" ref="A125:D140" totalsRowShown="0" headerRowDxfId="1935" dataDxfId="1933" headerRowBorderDxfId="1934" tableBorderDxfId="1932" headerRowCellStyle="40% - Accent6">
  <autoFilter ref="A125:D140"/>
  <tableColumns count="4">
    <tableColumn id="1" name="Expense" dataDxfId="1931"/>
    <tableColumn id="2" name="Description" dataDxfId="1930"/>
    <tableColumn id="4" name="Label Name" dataDxfId="1929"/>
    <tableColumn id="5" name="Amount" dataDxfId="1928" dataCellStyle="40% - Accent6"/>
  </tableColumns>
  <tableStyleInfo name="TableStyleLight18" showFirstColumn="0" showLastColumn="0" showRowStripes="1" showColumnStripes="0"/>
</table>
</file>

<file path=xl/tables/table561.xml><?xml version="1.0" encoding="utf-8"?>
<table xmlns="http://schemas.openxmlformats.org/spreadsheetml/2006/main" id="561" name="Rehab_70" displayName="Rehab_70" ref="A144:D159" totalsRowShown="0" headerRowDxfId="1927" dataDxfId="1925" headerRowBorderDxfId="1926" tableBorderDxfId="1924" headerRowCellStyle="40% - Accent6">
  <autoFilter ref="A144:D159"/>
  <tableColumns count="4">
    <tableColumn id="1" name="Expense" dataDxfId="1923"/>
    <tableColumn id="2" name="Description" dataDxfId="1922"/>
    <tableColumn id="4" name="Label Name" dataDxfId="1921"/>
    <tableColumn id="5" name="Amount" dataDxfId="1920" dataCellStyle="40% - Accent6"/>
  </tableColumns>
  <tableStyleInfo name="TableStyleLight18" showFirstColumn="0" showLastColumn="0" showRowStripes="1" showColumnStripes="0"/>
</table>
</file>

<file path=xl/tables/table562.xml><?xml version="1.0" encoding="utf-8"?>
<table xmlns="http://schemas.openxmlformats.org/spreadsheetml/2006/main" id="562" name="Grass_71" displayName="Grass_71" ref="A11:D26" totalsRowShown="0" headerRowDxfId="1919" dataDxfId="1917" headerRowBorderDxfId="1918" tableBorderDxfId="1916" headerRowCellStyle="40% - Accent6">
  <autoFilter ref="A11:D26"/>
  <tableColumns count="4">
    <tableColumn id="1" name="Expense" dataDxfId="1915"/>
    <tableColumn id="2" name="Description" dataDxfId="1914"/>
    <tableColumn id="4" name="Label Name" dataDxfId="1913"/>
    <tableColumn id="5" name="Amount" dataDxfId="1912" dataCellStyle="20% - Accent6"/>
  </tableColumns>
  <tableStyleInfo name="TableStyleLight18" showFirstColumn="0" showLastColumn="0" showRowStripes="1" showColumnStripes="0"/>
</table>
</file>

<file path=xl/tables/table563.xml><?xml version="1.0" encoding="utf-8"?>
<table xmlns="http://schemas.openxmlformats.org/spreadsheetml/2006/main" id="563" name="Tree_71" displayName="Tree_71" ref="A30:D45" totalsRowShown="0" headerRowDxfId="1911" dataDxfId="1909" headerRowBorderDxfId="1910" tableBorderDxfId="1908" headerRowCellStyle="40% - Accent6">
  <autoFilter ref="A30:D45"/>
  <tableColumns count="4">
    <tableColumn id="1" name="Expense" dataDxfId="1907"/>
    <tableColumn id="2" name="Description" dataDxfId="1906"/>
    <tableColumn id="4" name="Label Name" dataDxfId="1905"/>
    <tableColumn id="5" name="Amount" dataDxfId="1904" dataCellStyle="40% - Accent6"/>
  </tableColumns>
  <tableStyleInfo name="TableStyleLight18" showFirstColumn="0" showLastColumn="0" showRowStripes="1" showColumnStripes="0"/>
</table>
</file>

<file path=xl/tables/table564.xml><?xml version="1.0" encoding="utf-8"?>
<table xmlns="http://schemas.openxmlformats.org/spreadsheetml/2006/main" id="564" name="Pest_71" displayName="Pest_71" ref="A49:D64" totalsRowShown="0" headerRowDxfId="1903" dataDxfId="1901" headerRowBorderDxfId="1902" tableBorderDxfId="1900" headerRowCellStyle="40% - Accent6">
  <autoFilter ref="A49:D64"/>
  <tableColumns count="4">
    <tableColumn id="1" name="Expense" dataDxfId="1899"/>
    <tableColumn id="2" name="Description" dataDxfId="1898"/>
    <tableColumn id="4" name="Label Name" dataDxfId="1897"/>
    <tableColumn id="5" name="Amount" dataDxfId="1896" dataCellStyle="40% - Accent6"/>
  </tableColumns>
  <tableStyleInfo name="TableStyleLight18" showFirstColumn="0" showLastColumn="0" showRowStripes="1" showColumnStripes="0"/>
</table>
</file>

<file path=xl/tables/table565.xml><?xml version="1.0" encoding="utf-8"?>
<table xmlns="http://schemas.openxmlformats.org/spreadsheetml/2006/main" id="565" name="Garbage_71" displayName="Garbage_71" ref="A68:D83" totalsRowShown="0" headerRowDxfId="1895" dataDxfId="1893" headerRowBorderDxfId="1894" tableBorderDxfId="1892" headerRowCellStyle="40% - Accent6">
  <autoFilter ref="A68:D83"/>
  <tableColumns count="4">
    <tableColumn id="1" name="Expense" dataDxfId="1891"/>
    <tableColumn id="2" name="Description" dataDxfId="1890"/>
    <tableColumn id="4" name="Label Name" dataDxfId="1889"/>
    <tableColumn id="5" name="Amount" dataDxfId="1888" dataCellStyle="20% - Accent6"/>
  </tableColumns>
  <tableStyleInfo name="TableStyleLight18" showFirstColumn="0" showLastColumn="0" showRowStripes="1" showColumnStripes="0"/>
</table>
</file>

<file path=xl/tables/table566.xml><?xml version="1.0" encoding="utf-8"?>
<table xmlns="http://schemas.openxmlformats.org/spreadsheetml/2006/main" id="566" name="Boarding_71" displayName="Boarding_71" ref="A87:D102" totalsRowShown="0" headerRowDxfId="1887" dataDxfId="1885" headerRowBorderDxfId="1886" tableBorderDxfId="1884" headerRowCellStyle="40% - Accent6">
  <autoFilter ref="A87:D102"/>
  <tableColumns count="4">
    <tableColumn id="1" name="Expense" dataDxfId="1883"/>
    <tableColumn id="2" name="Description" dataDxfId="1882"/>
    <tableColumn id="4" name="Label Name" dataDxfId="1881"/>
    <tableColumn id="5" name="Amount" dataDxfId="1880" dataCellStyle="40% - Accent6"/>
  </tableColumns>
  <tableStyleInfo name="TableStyleLight18" showFirstColumn="0" showLastColumn="0" showRowStripes="1" showColumnStripes="0"/>
</table>
</file>

<file path=xl/tables/table567.xml><?xml version="1.0" encoding="utf-8"?>
<table xmlns="http://schemas.openxmlformats.org/spreadsheetml/2006/main" id="567" name="Fence_71" displayName="Fence_71" ref="A106:D121" totalsRowShown="0" headerRowDxfId="1879" dataDxfId="1877" headerRowBorderDxfId="1878" tableBorderDxfId="1876" headerRowCellStyle="40% - Accent6">
  <autoFilter ref="A106:D121"/>
  <tableColumns count="4">
    <tableColumn id="1" name="Expense" dataDxfId="1875"/>
    <tableColumn id="2" name="Description" dataDxfId="1874"/>
    <tableColumn id="4" name="Label Name" dataDxfId="1873"/>
    <tableColumn id="5" name="Amount" dataDxfId="1872" dataCellStyle="40% - Accent6"/>
  </tableColumns>
  <tableStyleInfo name="TableStyleLight18" showFirstColumn="0" showLastColumn="0" showRowStripes="1" showColumnStripes="0"/>
</table>
</file>

<file path=xl/tables/table568.xml><?xml version="1.0" encoding="utf-8"?>
<table xmlns="http://schemas.openxmlformats.org/spreadsheetml/2006/main" id="568" name="Demolition_71" displayName="Demolition_71" ref="A125:D140" totalsRowShown="0" headerRowDxfId="1871" dataDxfId="1869" headerRowBorderDxfId="1870" tableBorderDxfId="1868" headerRowCellStyle="40% - Accent6">
  <autoFilter ref="A125:D140"/>
  <tableColumns count="4">
    <tableColumn id="1" name="Expense" dataDxfId="1867"/>
    <tableColumn id="2" name="Description" dataDxfId="1866"/>
    <tableColumn id="4" name="Label Name" dataDxfId="1865"/>
    <tableColumn id="5" name="Amount" dataDxfId="1864" dataCellStyle="40% - Accent6"/>
  </tableColumns>
  <tableStyleInfo name="TableStyleLight18" showFirstColumn="0" showLastColumn="0" showRowStripes="1" showColumnStripes="0"/>
</table>
</file>

<file path=xl/tables/table569.xml><?xml version="1.0" encoding="utf-8"?>
<table xmlns="http://schemas.openxmlformats.org/spreadsheetml/2006/main" id="569" name="Rehab_71" displayName="Rehab_71" ref="A144:D159" totalsRowShown="0" headerRowDxfId="1863" dataDxfId="1861" headerRowBorderDxfId="1862" tableBorderDxfId="1860" headerRowCellStyle="40% - Accent6">
  <autoFilter ref="A144:D159"/>
  <tableColumns count="4">
    <tableColumn id="1" name="Expense" dataDxfId="1859"/>
    <tableColumn id="2" name="Description" dataDxfId="1858"/>
    <tableColumn id="4" name="Label Name" dataDxfId="1857"/>
    <tableColumn id="5" name="Amount" dataDxfId="1856" dataCellStyle="40% - Accent6"/>
  </tableColumns>
  <tableStyleInfo name="TableStyleLight18" showFirstColumn="0" showLastColumn="0" showRowStripes="1" showColumnStripes="0"/>
</table>
</file>

<file path=xl/tables/table57.xml><?xml version="1.0" encoding="utf-8"?>
<table xmlns="http://schemas.openxmlformats.org/spreadsheetml/2006/main" id="122" name="Rehab_7" displayName="Rehab_7" ref="A144:D159" totalsRowShown="0" headerRowDxfId="5959" dataDxfId="5957" headerRowBorderDxfId="5958" tableBorderDxfId="5956" headerRowCellStyle="40% - Accent6">
  <autoFilter ref="A144:D159"/>
  <tableColumns count="4">
    <tableColumn id="1" name="Expense" dataDxfId="5955"/>
    <tableColumn id="2" name="Description" dataDxfId="5954"/>
    <tableColumn id="4" name="Label Name" dataDxfId="5953"/>
    <tableColumn id="5" name="Amount" dataDxfId="5952" dataCellStyle="40% - Accent6"/>
  </tableColumns>
  <tableStyleInfo name="TableStyleLight18" showFirstColumn="0" showLastColumn="0" showRowStripes="1" showColumnStripes="0"/>
</table>
</file>

<file path=xl/tables/table570.xml><?xml version="1.0" encoding="utf-8"?>
<table xmlns="http://schemas.openxmlformats.org/spreadsheetml/2006/main" id="570" name="Grass_72" displayName="Grass_72" ref="A11:D26" totalsRowShown="0" headerRowDxfId="1855" dataDxfId="1853" headerRowBorderDxfId="1854" tableBorderDxfId="1852" headerRowCellStyle="40% - Accent6">
  <autoFilter ref="A11:D26"/>
  <tableColumns count="4">
    <tableColumn id="1" name="Expense" dataDxfId="1851"/>
    <tableColumn id="2" name="Description" dataDxfId="1850"/>
    <tableColumn id="4" name="Label Name" dataDxfId="1849"/>
    <tableColumn id="5" name="Amount" dataDxfId="1848" dataCellStyle="20% - Accent6"/>
  </tableColumns>
  <tableStyleInfo name="TableStyleLight18" showFirstColumn="0" showLastColumn="0" showRowStripes="1" showColumnStripes="0"/>
</table>
</file>

<file path=xl/tables/table571.xml><?xml version="1.0" encoding="utf-8"?>
<table xmlns="http://schemas.openxmlformats.org/spreadsheetml/2006/main" id="571" name="Tree_72" displayName="Tree_72" ref="A30:D45" totalsRowShown="0" headerRowDxfId="1847" dataDxfId="1845" headerRowBorderDxfId="1846" tableBorderDxfId="1844" headerRowCellStyle="40% - Accent6">
  <autoFilter ref="A30:D45"/>
  <tableColumns count="4">
    <tableColumn id="1" name="Expense" dataDxfId="1843"/>
    <tableColumn id="2" name="Description" dataDxfId="1842"/>
    <tableColumn id="4" name="Label Name" dataDxfId="1841"/>
    <tableColumn id="5" name="Amount" dataDxfId="1840" dataCellStyle="40% - Accent6"/>
  </tableColumns>
  <tableStyleInfo name="TableStyleLight18" showFirstColumn="0" showLastColumn="0" showRowStripes="1" showColumnStripes="0"/>
</table>
</file>

<file path=xl/tables/table572.xml><?xml version="1.0" encoding="utf-8"?>
<table xmlns="http://schemas.openxmlformats.org/spreadsheetml/2006/main" id="572" name="Pest_72" displayName="Pest_72" ref="A49:D64" totalsRowShown="0" headerRowDxfId="1839" dataDxfId="1837" headerRowBorderDxfId="1838" tableBorderDxfId="1836" headerRowCellStyle="40% - Accent6">
  <autoFilter ref="A49:D64"/>
  <tableColumns count="4">
    <tableColumn id="1" name="Expense" dataDxfId="1835"/>
    <tableColumn id="2" name="Description" dataDxfId="1834"/>
    <tableColumn id="4" name="Label Name" dataDxfId="1833"/>
    <tableColumn id="5" name="Amount" dataDxfId="1832" dataCellStyle="40% - Accent6"/>
  </tableColumns>
  <tableStyleInfo name="TableStyleLight18" showFirstColumn="0" showLastColumn="0" showRowStripes="1" showColumnStripes="0"/>
</table>
</file>

<file path=xl/tables/table573.xml><?xml version="1.0" encoding="utf-8"?>
<table xmlns="http://schemas.openxmlformats.org/spreadsheetml/2006/main" id="573" name="Garbage_72" displayName="Garbage_72" ref="A68:D83" totalsRowShown="0" headerRowDxfId="1831" dataDxfId="1829" headerRowBorderDxfId="1830" tableBorderDxfId="1828" headerRowCellStyle="40% - Accent6">
  <autoFilter ref="A68:D83"/>
  <tableColumns count="4">
    <tableColumn id="1" name="Expense" dataDxfId="1827"/>
    <tableColumn id="2" name="Description" dataDxfId="1826"/>
    <tableColumn id="4" name="Label Name" dataDxfId="1825"/>
    <tableColumn id="5" name="Amount" dataDxfId="1824" dataCellStyle="20% - Accent6"/>
  </tableColumns>
  <tableStyleInfo name="TableStyleLight18" showFirstColumn="0" showLastColumn="0" showRowStripes="1" showColumnStripes="0"/>
</table>
</file>

<file path=xl/tables/table574.xml><?xml version="1.0" encoding="utf-8"?>
<table xmlns="http://schemas.openxmlformats.org/spreadsheetml/2006/main" id="574" name="Boarding_72" displayName="Boarding_72" ref="A87:D102" totalsRowShown="0" headerRowDxfId="1823" dataDxfId="1821" headerRowBorderDxfId="1822" tableBorderDxfId="1820" headerRowCellStyle="40% - Accent6">
  <autoFilter ref="A87:D102"/>
  <tableColumns count="4">
    <tableColumn id="1" name="Expense" dataDxfId="1819"/>
    <tableColumn id="2" name="Description" dataDxfId="1818"/>
    <tableColumn id="4" name="Label Name" dataDxfId="1817"/>
    <tableColumn id="5" name="Amount" dataDxfId="1816" dataCellStyle="40% - Accent6"/>
  </tableColumns>
  <tableStyleInfo name="TableStyleLight18" showFirstColumn="0" showLastColumn="0" showRowStripes="1" showColumnStripes="0"/>
</table>
</file>

<file path=xl/tables/table575.xml><?xml version="1.0" encoding="utf-8"?>
<table xmlns="http://schemas.openxmlformats.org/spreadsheetml/2006/main" id="575" name="Fence_72" displayName="Fence_72" ref="A106:D121" totalsRowShown="0" headerRowDxfId="1815" dataDxfId="1813" headerRowBorderDxfId="1814" tableBorderDxfId="1812" headerRowCellStyle="40% - Accent6">
  <autoFilter ref="A106:D121"/>
  <tableColumns count="4">
    <tableColumn id="1" name="Expense" dataDxfId="1811"/>
    <tableColumn id="2" name="Description" dataDxfId="1810"/>
    <tableColumn id="4" name="Label Name" dataDxfId="1809"/>
    <tableColumn id="5" name="Amount" dataDxfId="1808" dataCellStyle="40% - Accent6"/>
  </tableColumns>
  <tableStyleInfo name="TableStyleLight18" showFirstColumn="0" showLastColumn="0" showRowStripes="1" showColumnStripes="0"/>
</table>
</file>

<file path=xl/tables/table576.xml><?xml version="1.0" encoding="utf-8"?>
<table xmlns="http://schemas.openxmlformats.org/spreadsheetml/2006/main" id="576" name="Demolition_72" displayName="Demolition_72" ref="A125:D140" totalsRowShown="0" headerRowDxfId="1807" dataDxfId="1805" headerRowBorderDxfId="1806" tableBorderDxfId="1804" headerRowCellStyle="40% - Accent6">
  <autoFilter ref="A125:D140"/>
  <tableColumns count="4">
    <tableColumn id="1" name="Expense" dataDxfId="1803"/>
    <tableColumn id="2" name="Description" dataDxfId="1802"/>
    <tableColumn id="4" name="Label Name" dataDxfId="1801"/>
    <tableColumn id="5" name="Amount" dataDxfId="1800" dataCellStyle="40% - Accent6"/>
  </tableColumns>
  <tableStyleInfo name="TableStyleLight18" showFirstColumn="0" showLastColumn="0" showRowStripes="1" showColumnStripes="0"/>
</table>
</file>

<file path=xl/tables/table577.xml><?xml version="1.0" encoding="utf-8"?>
<table xmlns="http://schemas.openxmlformats.org/spreadsheetml/2006/main" id="577" name="Rehab_72" displayName="Rehab_72" ref="A144:D159" totalsRowShown="0" headerRowDxfId="1799" dataDxfId="1797" headerRowBorderDxfId="1798" tableBorderDxfId="1796" headerRowCellStyle="40% - Accent6">
  <autoFilter ref="A144:D159"/>
  <tableColumns count="4">
    <tableColumn id="1" name="Expense" dataDxfId="1795"/>
    <tableColumn id="2" name="Description" dataDxfId="1794"/>
    <tableColumn id="4" name="Label Name" dataDxfId="1793"/>
    <tableColumn id="5" name="Amount" dataDxfId="1792" dataCellStyle="40% - Accent6"/>
  </tableColumns>
  <tableStyleInfo name="TableStyleLight18" showFirstColumn="0" showLastColumn="0" showRowStripes="1" showColumnStripes="0"/>
</table>
</file>

<file path=xl/tables/table578.xml><?xml version="1.0" encoding="utf-8"?>
<table xmlns="http://schemas.openxmlformats.org/spreadsheetml/2006/main" id="578" name="Grass_73" displayName="Grass_73" ref="A11:D26" totalsRowShown="0" headerRowDxfId="1791" dataDxfId="1789" headerRowBorderDxfId="1790" tableBorderDxfId="1788" headerRowCellStyle="40% - Accent6">
  <autoFilter ref="A11:D26"/>
  <tableColumns count="4">
    <tableColumn id="1" name="Expense" dataDxfId="1787"/>
    <tableColumn id="2" name="Description" dataDxfId="1786"/>
    <tableColumn id="4" name="Label Name" dataDxfId="1785"/>
    <tableColumn id="5" name="Amount" dataDxfId="1784" dataCellStyle="20% - Accent6"/>
  </tableColumns>
  <tableStyleInfo name="TableStyleLight18" showFirstColumn="0" showLastColumn="0" showRowStripes="1" showColumnStripes="0"/>
</table>
</file>

<file path=xl/tables/table579.xml><?xml version="1.0" encoding="utf-8"?>
<table xmlns="http://schemas.openxmlformats.org/spreadsheetml/2006/main" id="579" name="Tree_73" displayName="Tree_73" ref="A30:D45" totalsRowShown="0" headerRowDxfId="1783" dataDxfId="1781" headerRowBorderDxfId="1782" tableBorderDxfId="1780" headerRowCellStyle="40% - Accent6">
  <autoFilter ref="A30:D45"/>
  <tableColumns count="4">
    <tableColumn id="1" name="Expense" dataDxfId="1779"/>
    <tableColumn id="2" name="Description" dataDxfId="1778"/>
    <tableColumn id="4" name="Label Name" dataDxfId="1777"/>
    <tableColumn id="5" name="Amount" dataDxfId="1776" dataCellStyle="40% - Accent6"/>
  </tableColumns>
  <tableStyleInfo name="TableStyleLight18" showFirstColumn="0" showLastColumn="0" showRowStripes="1" showColumnStripes="0"/>
</table>
</file>

<file path=xl/tables/table58.xml><?xml version="1.0" encoding="utf-8"?>
<table xmlns="http://schemas.openxmlformats.org/spreadsheetml/2006/main" id="123" name="Grass_8" displayName="Grass_8" ref="A11:D26" totalsRowShown="0" headerRowDxfId="5951" dataDxfId="5949" headerRowBorderDxfId="5950" tableBorderDxfId="5948" headerRowCellStyle="40% - Accent6">
  <autoFilter ref="A11:D26"/>
  <tableColumns count="4">
    <tableColumn id="1" name="Expense" dataDxfId="5947"/>
    <tableColumn id="2" name="Description" dataDxfId="5946"/>
    <tableColumn id="4" name="Label Name" dataDxfId="5945"/>
    <tableColumn id="5" name="Amount" dataDxfId="5944" dataCellStyle="20% - Accent6"/>
  </tableColumns>
  <tableStyleInfo name="TableStyleLight18" showFirstColumn="0" showLastColumn="0" showRowStripes="1" showColumnStripes="0"/>
</table>
</file>

<file path=xl/tables/table580.xml><?xml version="1.0" encoding="utf-8"?>
<table xmlns="http://schemas.openxmlformats.org/spreadsheetml/2006/main" id="580" name="Pest_73" displayName="Pest_73" ref="A49:D64" totalsRowShown="0" headerRowDxfId="1775" dataDxfId="1773" headerRowBorderDxfId="1774" tableBorderDxfId="1772" headerRowCellStyle="40% - Accent6">
  <autoFilter ref="A49:D64"/>
  <tableColumns count="4">
    <tableColumn id="1" name="Expense" dataDxfId="1771"/>
    <tableColumn id="2" name="Description" dataDxfId="1770"/>
    <tableColumn id="4" name="Label Name" dataDxfId="1769"/>
    <tableColumn id="5" name="Amount" dataDxfId="1768" dataCellStyle="40% - Accent6"/>
  </tableColumns>
  <tableStyleInfo name="TableStyleLight18" showFirstColumn="0" showLastColumn="0" showRowStripes="1" showColumnStripes="0"/>
</table>
</file>

<file path=xl/tables/table581.xml><?xml version="1.0" encoding="utf-8"?>
<table xmlns="http://schemas.openxmlformats.org/spreadsheetml/2006/main" id="581" name="Garbage_73" displayName="Garbage_73" ref="A68:D83" totalsRowShown="0" headerRowDxfId="1767" dataDxfId="1765" headerRowBorderDxfId="1766" tableBorderDxfId="1764" headerRowCellStyle="40% - Accent6">
  <autoFilter ref="A68:D83"/>
  <tableColumns count="4">
    <tableColumn id="1" name="Expense" dataDxfId="1763"/>
    <tableColumn id="2" name="Description" dataDxfId="1762"/>
    <tableColumn id="4" name="Label Name" dataDxfId="1761"/>
    <tableColumn id="5" name="Amount" dataDxfId="1760" dataCellStyle="20% - Accent6"/>
  </tableColumns>
  <tableStyleInfo name="TableStyleLight18" showFirstColumn="0" showLastColumn="0" showRowStripes="1" showColumnStripes="0"/>
</table>
</file>

<file path=xl/tables/table582.xml><?xml version="1.0" encoding="utf-8"?>
<table xmlns="http://schemas.openxmlformats.org/spreadsheetml/2006/main" id="582" name="Boarding_73" displayName="Boarding_73" ref="A87:D102" totalsRowShown="0" headerRowDxfId="1759" dataDxfId="1757" headerRowBorderDxfId="1758" tableBorderDxfId="1756" headerRowCellStyle="40% - Accent6">
  <autoFilter ref="A87:D102"/>
  <tableColumns count="4">
    <tableColumn id="1" name="Expense" dataDxfId="1755"/>
    <tableColumn id="2" name="Description" dataDxfId="1754"/>
    <tableColumn id="4" name="Label Name" dataDxfId="1753"/>
    <tableColumn id="5" name="Amount" dataDxfId="1752" dataCellStyle="40% - Accent6"/>
  </tableColumns>
  <tableStyleInfo name="TableStyleLight18" showFirstColumn="0" showLastColumn="0" showRowStripes="1" showColumnStripes="0"/>
</table>
</file>

<file path=xl/tables/table583.xml><?xml version="1.0" encoding="utf-8"?>
<table xmlns="http://schemas.openxmlformats.org/spreadsheetml/2006/main" id="583" name="Fence_73" displayName="Fence_73" ref="A106:D121" totalsRowShown="0" headerRowDxfId="1751" dataDxfId="1749" headerRowBorderDxfId="1750" tableBorderDxfId="1748" headerRowCellStyle="40% - Accent6">
  <autoFilter ref="A106:D121"/>
  <tableColumns count="4">
    <tableColumn id="1" name="Expense" dataDxfId="1747"/>
    <tableColumn id="2" name="Description" dataDxfId="1746"/>
    <tableColumn id="4" name="Label Name" dataDxfId="1745"/>
    <tableColumn id="5" name="Amount" dataDxfId="1744" dataCellStyle="40% - Accent6"/>
  </tableColumns>
  <tableStyleInfo name="TableStyleLight18" showFirstColumn="0" showLastColumn="0" showRowStripes="1" showColumnStripes="0"/>
</table>
</file>

<file path=xl/tables/table584.xml><?xml version="1.0" encoding="utf-8"?>
<table xmlns="http://schemas.openxmlformats.org/spreadsheetml/2006/main" id="584" name="Demolition_73" displayName="Demolition_73" ref="A125:D140" totalsRowShown="0" headerRowDxfId="1743" dataDxfId="1741" headerRowBorderDxfId="1742" tableBorderDxfId="1740" headerRowCellStyle="40% - Accent6">
  <autoFilter ref="A125:D140"/>
  <tableColumns count="4">
    <tableColumn id="1" name="Expense" dataDxfId="1739"/>
    <tableColumn id="2" name="Description" dataDxfId="1738"/>
    <tableColumn id="4" name="Label Name" dataDxfId="1737"/>
    <tableColumn id="5" name="Amount" dataDxfId="1736" dataCellStyle="40% - Accent6"/>
  </tableColumns>
  <tableStyleInfo name="TableStyleLight18" showFirstColumn="0" showLastColumn="0" showRowStripes="1" showColumnStripes="0"/>
</table>
</file>

<file path=xl/tables/table585.xml><?xml version="1.0" encoding="utf-8"?>
<table xmlns="http://schemas.openxmlformats.org/spreadsheetml/2006/main" id="585" name="Rehab_73" displayName="Rehab_73" ref="A144:D159" totalsRowShown="0" headerRowDxfId="1735" dataDxfId="1733" headerRowBorderDxfId="1734" tableBorderDxfId="1732" headerRowCellStyle="40% - Accent6">
  <autoFilter ref="A144:D159"/>
  <tableColumns count="4">
    <tableColumn id="1" name="Expense" dataDxfId="1731"/>
    <tableColumn id="2" name="Description" dataDxfId="1730"/>
    <tableColumn id="4" name="Label Name" dataDxfId="1729"/>
    <tableColumn id="5" name="Amount" dataDxfId="1728" dataCellStyle="40% - Accent6"/>
  </tableColumns>
  <tableStyleInfo name="TableStyleLight18" showFirstColumn="0" showLastColumn="0" showRowStripes="1" showColumnStripes="0"/>
</table>
</file>

<file path=xl/tables/table586.xml><?xml version="1.0" encoding="utf-8"?>
<table xmlns="http://schemas.openxmlformats.org/spreadsheetml/2006/main" id="586" name="Grass_74" displayName="Grass_74" ref="A11:D26" totalsRowShown="0" headerRowDxfId="1727" dataDxfId="1725" headerRowBorderDxfId="1726" tableBorderDxfId="1724" headerRowCellStyle="40% - Accent6">
  <autoFilter ref="A11:D26"/>
  <tableColumns count="4">
    <tableColumn id="1" name="Expense" dataDxfId="1723"/>
    <tableColumn id="2" name="Description" dataDxfId="1722"/>
    <tableColumn id="4" name="Label Name" dataDxfId="1721"/>
    <tableColumn id="5" name="Amount" dataDxfId="1720" dataCellStyle="20% - Accent6"/>
  </tableColumns>
  <tableStyleInfo name="TableStyleLight18" showFirstColumn="0" showLastColumn="0" showRowStripes="1" showColumnStripes="0"/>
</table>
</file>

<file path=xl/tables/table587.xml><?xml version="1.0" encoding="utf-8"?>
<table xmlns="http://schemas.openxmlformats.org/spreadsheetml/2006/main" id="587" name="Tree_74" displayName="Tree_74" ref="A30:D45" totalsRowShown="0" headerRowDxfId="1719" dataDxfId="1717" headerRowBorderDxfId="1718" tableBorderDxfId="1716" headerRowCellStyle="40% - Accent6">
  <autoFilter ref="A30:D45"/>
  <tableColumns count="4">
    <tableColumn id="1" name="Expense" dataDxfId="1715"/>
    <tableColumn id="2" name="Description" dataDxfId="1714"/>
    <tableColumn id="4" name="Label Name" dataDxfId="1713"/>
    <tableColumn id="5" name="Amount" dataDxfId="1712" dataCellStyle="40% - Accent6"/>
  </tableColumns>
  <tableStyleInfo name="TableStyleLight18" showFirstColumn="0" showLastColumn="0" showRowStripes="1" showColumnStripes="0"/>
</table>
</file>

<file path=xl/tables/table588.xml><?xml version="1.0" encoding="utf-8"?>
<table xmlns="http://schemas.openxmlformats.org/spreadsheetml/2006/main" id="588" name="Pest_74" displayName="Pest_74" ref="A49:D64" totalsRowShown="0" headerRowDxfId="1711" dataDxfId="1709" headerRowBorderDxfId="1710" tableBorderDxfId="1708" headerRowCellStyle="40% - Accent6">
  <autoFilter ref="A49:D64"/>
  <tableColumns count="4">
    <tableColumn id="1" name="Expense" dataDxfId="1707"/>
    <tableColumn id="2" name="Description" dataDxfId="1706"/>
    <tableColumn id="4" name="Label Name" dataDxfId="1705"/>
    <tableColumn id="5" name="Amount" dataDxfId="1704" dataCellStyle="40% - Accent6"/>
  </tableColumns>
  <tableStyleInfo name="TableStyleLight18" showFirstColumn="0" showLastColumn="0" showRowStripes="1" showColumnStripes="0"/>
</table>
</file>

<file path=xl/tables/table589.xml><?xml version="1.0" encoding="utf-8"?>
<table xmlns="http://schemas.openxmlformats.org/spreadsheetml/2006/main" id="589" name="Garbage_74" displayName="Garbage_74" ref="A68:D83" totalsRowShown="0" headerRowDxfId="1703" dataDxfId="1701" headerRowBorderDxfId="1702" tableBorderDxfId="1700" headerRowCellStyle="40% - Accent6">
  <autoFilter ref="A68:D83"/>
  <tableColumns count="4">
    <tableColumn id="1" name="Expense" dataDxfId="1699"/>
    <tableColumn id="2" name="Description" dataDxfId="1698"/>
    <tableColumn id="4" name="Label Name" dataDxfId="1697"/>
    <tableColumn id="5" name="Amount" dataDxfId="1696" dataCellStyle="20% - Accent6"/>
  </tableColumns>
  <tableStyleInfo name="TableStyleLight18" showFirstColumn="0" showLastColumn="0" showRowStripes="1" showColumnStripes="0"/>
</table>
</file>

<file path=xl/tables/table59.xml><?xml version="1.0" encoding="utf-8"?>
<table xmlns="http://schemas.openxmlformats.org/spreadsheetml/2006/main" id="124" name="Tree_8" displayName="Tree_8" ref="A30:D45" totalsRowShown="0" headerRowDxfId="5943" dataDxfId="5941" headerRowBorderDxfId="5942" tableBorderDxfId="5940" headerRowCellStyle="40% - Accent6">
  <autoFilter ref="A30:D45"/>
  <tableColumns count="4">
    <tableColumn id="1" name="Expense" dataDxfId="5939"/>
    <tableColumn id="2" name="Description" dataDxfId="5938"/>
    <tableColumn id="4" name="Label Name" dataDxfId="5937"/>
    <tableColumn id="5" name="Amount" dataDxfId="5936" dataCellStyle="40% - Accent6"/>
  </tableColumns>
  <tableStyleInfo name="TableStyleLight18" showFirstColumn="0" showLastColumn="0" showRowStripes="1" showColumnStripes="0"/>
</table>
</file>

<file path=xl/tables/table590.xml><?xml version="1.0" encoding="utf-8"?>
<table xmlns="http://schemas.openxmlformats.org/spreadsheetml/2006/main" id="590" name="Boarding_74" displayName="Boarding_74" ref="A87:D102" totalsRowShown="0" headerRowDxfId="1695" dataDxfId="1693" headerRowBorderDxfId="1694" tableBorderDxfId="1692" headerRowCellStyle="40% - Accent6">
  <autoFilter ref="A87:D102"/>
  <tableColumns count="4">
    <tableColumn id="1" name="Expense" dataDxfId="1691"/>
    <tableColumn id="2" name="Description" dataDxfId="1690"/>
    <tableColumn id="4" name="Label Name" dataDxfId="1689"/>
    <tableColumn id="5" name="Amount" dataDxfId="1688" dataCellStyle="40% - Accent6"/>
  </tableColumns>
  <tableStyleInfo name="TableStyleLight18" showFirstColumn="0" showLastColumn="0" showRowStripes="1" showColumnStripes="0"/>
</table>
</file>

<file path=xl/tables/table591.xml><?xml version="1.0" encoding="utf-8"?>
<table xmlns="http://schemas.openxmlformats.org/spreadsheetml/2006/main" id="591" name="Fence_74" displayName="Fence_74" ref="A106:D121" totalsRowShown="0" headerRowDxfId="1687" dataDxfId="1685" headerRowBorderDxfId="1686" tableBorderDxfId="1684" headerRowCellStyle="40% - Accent6">
  <autoFilter ref="A106:D121"/>
  <tableColumns count="4">
    <tableColumn id="1" name="Expense" dataDxfId="1683"/>
    <tableColumn id="2" name="Description" dataDxfId="1682"/>
    <tableColumn id="4" name="Label Name" dataDxfId="1681"/>
    <tableColumn id="5" name="Amount" dataDxfId="1680" dataCellStyle="40% - Accent6"/>
  </tableColumns>
  <tableStyleInfo name="TableStyleLight18" showFirstColumn="0" showLastColumn="0" showRowStripes="1" showColumnStripes="0"/>
</table>
</file>

<file path=xl/tables/table592.xml><?xml version="1.0" encoding="utf-8"?>
<table xmlns="http://schemas.openxmlformats.org/spreadsheetml/2006/main" id="592" name="Demolition_74" displayName="Demolition_74" ref="A125:D140" totalsRowShown="0" headerRowDxfId="1679" dataDxfId="1677" headerRowBorderDxfId="1678" tableBorderDxfId="1676" headerRowCellStyle="40% - Accent6">
  <autoFilter ref="A125:D140"/>
  <tableColumns count="4">
    <tableColumn id="1" name="Expense" dataDxfId="1675"/>
    <tableColumn id="2" name="Description" dataDxfId="1674"/>
    <tableColumn id="4" name="Label Name" dataDxfId="1673"/>
    <tableColumn id="5" name="Amount" dataDxfId="1672" dataCellStyle="40% - Accent6"/>
  </tableColumns>
  <tableStyleInfo name="TableStyleLight18" showFirstColumn="0" showLastColumn="0" showRowStripes="1" showColumnStripes="0"/>
</table>
</file>

<file path=xl/tables/table593.xml><?xml version="1.0" encoding="utf-8"?>
<table xmlns="http://schemas.openxmlformats.org/spreadsheetml/2006/main" id="593" name="Rehab_74" displayName="Rehab_74" ref="A144:D159" totalsRowShown="0" headerRowDxfId="1671" dataDxfId="1669" headerRowBorderDxfId="1670" tableBorderDxfId="1668" headerRowCellStyle="40% - Accent6">
  <autoFilter ref="A144:D159"/>
  <tableColumns count="4">
    <tableColumn id="1" name="Expense" dataDxfId="1667"/>
    <tableColumn id="2" name="Description" dataDxfId="1666"/>
    <tableColumn id="4" name="Label Name" dataDxfId="1665"/>
    <tableColumn id="5" name="Amount" dataDxfId="1664" dataCellStyle="40% - Accent6"/>
  </tableColumns>
  <tableStyleInfo name="TableStyleLight18" showFirstColumn="0" showLastColumn="0" showRowStripes="1" showColumnStripes="0"/>
</table>
</file>

<file path=xl/tables/table594.xml><?xml version="1.0" encoding="utf-8"?>
<table xmlns="http://schemas.openxmlformats.org/spreadsheetml/2006/main" id="594" name="Grass_75" displayName="Grass_75" ref="A11:D26" totalsRowShown="0" headerRowDxfId="1663" dataDxfId="1661" headerRowBorderDxfId="1662" tableBorderDxfId="1660" headerRowCellStyle="40% - Accent6">
  <autoFilter ref="A11:D26"/>
  <tableColumns count="4">
    <tableColumn id="1" name="Expense" dataDxfId="1659"/>
    <tableColumn id="2" name="Description" dataDxfId="1658"/>
    <tableColumn id="4" name="Label Name" dataDxfId="1657"/>
    <tableColumn id="5" name="Amount" dataDxfId="1656" dataCellStyle="20% - Accent6"/>
  </tableColumns>
  <tableStyleInfo name="TableStyleLight18" showFirstColumn="0" showLastColumn="0" showRowStripes="1" showColumnStripes="0"/>
</table>
</file>

<file path=xl/tables/table595.xml><?xml version="1.0" encoding="utf-8"?>
<table xmlns="http://schemas.openxmlformats.org/spreadsheetml/2006/main" id="595" name="Tree_75" displayName="Tree_75" ref="A30:D45" totalsRowShown="0" headerRowDxfId="1655" dataDxfId="1653" headerRowBorderDxfId="1654" tableBorderDxfId="1652" headerRowCellStyle="40% - Accent6">
  <autoFilter ref="A30:D45"/>
  <tableColumns count="4">
    <tableColumn id="1" name="Expense" dataDxfId="1651"/>
    <tableColumn id="2" name="Description" dataDxfId="1650"/>
    <tableColumn id="4" name="Label Name" dataDxfId="1649"/>
    <tableColumn id="5" name="Amount" dataDxfId="1648" dataCellStyle="40% - Accent6"/>
  </tableColumns>
  <tableStyleInfo name="TableStyleLight18" showFirstColumn="0" showLastColumn="0" showRowStripes="1" showColumnStripes="0"/>
</table>
</file>

<file path=xl/tables/table596.xml><?xml version="1.0" encoding="utf-8"?>
<table xmlns="http://schemas.openxmlformats.org/spreadsheetml/2006/main" id="596" name="Pest_75" displayName="Pest_75" ref="A49:D64" totalsRowShown="0" headerRowDxfId="1647" dataDxfId="1645" headerRowBorderDxfId="1646" tableBorderDxfId="1644" headerRowCellStyle="40% - Accent6">
  <autoFilter ref="A49:D64"/>
  <tableColumns count="4">
    <tableColumn id="1" name="Expense" dataDxfId="1643"/>
    <tableColumn id="2" name="Description" dataDxfId="1642"/>
    <tableColumn id="4" name="Label Name" dataDxfId="1641"/>
    <tableColumn id="5" name="Amount" dataDxfId="1640" dataCellStyle="40% - Accent6"/>
  </tableColumns>
  <tableStyleInfo name="TableStyleLight18" showFirstColumn="0" showLastColumn="0" showRowStripes="1" showColumnStripes="0"/>
</table>
</file>

<file path=xl/tables/table597.xml><?xml version="1.0" encoding="utf-8"?>
<table xmlns="http://schemas.openxmlformats.org/spreadsheetml/2006/main" id="597" name="Garbage_75" displayName="Garbage_75" ref="A68:D83" totalsRowShown="0" headerRowDxfId="1639" dataDxfId="1637" headerRowBorderDxfId="1638" tableBorderDxfId="1636" headerRowCellStyle="40% - Accent6">
  <autoFilter ref="A68:D83"/>
  <tableColumns count="4">
    <tableColumn id="1" name="Expense" dataDxfId="1635"/>
    <tableColumn id="2" name="Description" dataDxfId="1634"/>
    <tableColumn id="4" name="Label Name" dataDxfId="1633"/>
    <tableColumn id="5" name="Amount" dataDxfId="1632" dataCellStyle="20% - Accent6"/>
  </tableColumns>
  <tableStyleInfo name="TableStyleLight18" showFirstColumn="0" showLastColumn="0" showRowStripes="1" showColumnStripes="0"/>
</table>
</file>

<file path=xl/tables/table598.xml><?xml version="1.0" encoding="utf-8"?>
<table xmlns="http://schemas.openxmlformats.org/spreadsheetml/2006/main" id="598" name="Boarding_75" displayName="Boarding_75" ref="A87:D102" totalsRowShown="0" headerRowDxfId="1631" dataDxfId="1629" headerRowBorderDxfId="1630" tableBorderDxfId="1628" headerRowCellStyle="40% - Accent6">
  <autoFilter ref="A87:D102"/>
  <tableColumns count="4">
    <tableColumn id="1" name="Expense" dataDxfId="1627"/>
    <tableColumn id="2" name="Description" dataDxfId="1626"/>
    <tableColumn id="4" name="Label Name" dataDxfId="1625"/>
    <tableColumn id="5" name="Amount" dataDxfId="1624" dataCellStyle="40% - Accent6"/>
  </tableColumns>
  <tableStyleInfo name="TableStyleLight18" showFirstColumn="0" showLastColumn="0" showRowStripes="1" showColumnStripes="0"/>
</table>
</file>

<file path=xl/tables/table599.xml><?xml version="1.0" encoding="utf-8"?>
<table xmlns="http://schemas.openxmlformats.org/spreadsheetml/2006/main" id="599" name="Fence_75" displayName="Fence_75" ref="A106:D121" totalsRowShown="0" headerRowDxfId="1623" dataDxfId="1621" headerRowBorderDxfId="1622" tableBorderDxfId="1620" headerRowCellStyle="40% - Accent6">
  <autoFilter ref="A106:D121"/>
  <tableColumns count="4">
    <tableColumn id="1" name="Expense" dataDxfId="1619"/>
    <tableColumn id="2" name="Description" dataDxfId="1618"/>
    <tableColumn id="4" name="Label Name" dataDxfId="1617"/>
    <tableColumn id="5" name="Amount" dataDxfId="1616" dataCellStyle="40% - Accent6"/>
  </tableColumns>
  <tableStyleInfo name="TableStyleLight18" showFirstColumn="0" showLastColumn="0" showRowStripes="1" showColumnStripes="0"/>
</table>
</file>

<file path=xl/tables/table6.xml><?xml version="1.0" encoding="utf-8"?>
<table xmlns="http://schemas.openxmlformats.org/spreadsheetml/2006/main" id="63" name="Boarding_1" displayName="Boarding_1" ref="A87:D102" totalsRowShown="0" headerRowDxfId="6367" dataDxfId="6365" headerRowBorderDxfId="6366" tableBorderDxfId="6364" headerRowCellStyle="40% - Accent6">
  <autoFilter ref="A87:D102"/>
  <tableColumns count="4">
    <tableColumn id="1" name="Expense" dataDxfId="6363"/>
    <tableColumn id="2" name="Description" dataDxfId="6362"/>
    <tableColumn id="4" name="Label Name" dataDxfId="6361"/>
    <tableColumn id="5" name="Amount" dataDxfId="6360" dataCellStyle="40% - Accent6"/>
  </tableColumns>
  <tableStyleInfo name="TableStyleLight18" showFirstColumn="0" showLastColumn="0" showRowStripes="1" showColumnStripes="0"/>
</table>
</file>

<file path=xl/tables/table60.xml><?xml version="1.0" encoding="utf-8"?>
<table xmlns="http://schemas.openxmlformats.org/spreadsheetml/2006/main" id="125" name="Pest_8" displayName="Pest_8" ref="A49:D64" totalsRowShown="0" headerRowDxfId="5935" dataDxfId="5933" headerRowBorderDxfId="5934" tableBorderDxfId="5932" headerRowCellStyle="40% - Accent6">
  <autoFilter ref="A49:D64"/>
  <tableColumns count="4">
    <tableColumn id="1" name="Expense" dataDxfId="5931"/>
    <tableColumn id="2" name="Description" dataDxfId="5930"/>
    <tableColumn id="4" name="Label Name" dataDxfId="5929"/>
    <tableColumn id="5" name="Amount" dataDxfId="5928" dataCellStyle="40% - Accent6"/>
  </tableColumns>
  <tableStyleInfo name="TableStyleLight18" showFirstColumn="0" showLastColumn="0" showRowStripes="1" showColumnStripes="0"/>
</table>
</file>

<file path=xl/tables/table600.xml><?xml version="1.0" encoding="utf-8"?>
<table xmlns="http://schemas.openxmlformats.org/spreadsheetml/2006/main" id="600" name="Demolition_75" displayName="Demolition_75" ref="A125:D140" totalsRowShown="0" headerRowDxfId="1615" dataDxfId="1613" headerRowBorderDxfId="1614" tableBorderDxfId="1612" headerRowCellStyle="40% - Accent6">
  <autoFilter ref="A125:D140"/>
  <tableColumns count="4">
    <tableColumn id="1" name="Expense" dataDxfId="1611"/>
    <tableColumn id="2" name="Description" dataDxfId="1610"/>
    <tableColumn id="4" name="Label Name" dataDxfId="1609"/>
    <tableColumn id="5" name="Amount" dataDxfId="1608" dataCellStyle="40% - Accent6"/>
  </tableColumns>
  <tableStyleInfo name="TableStyleLight18" showFirstColumn="0" showLastColumn="0" showRowStripes="1" showColumnStripes="0"/>
</table>
</file>

<file path=xl/tables/table601.xml><?xml version="1.0" encoding="utf-8"?>
<table xmlns="http://schemas.openxmlformats.org/spreadsheetml/2006/main" id="601" name="Rehab_75" displayName="Rehab_75" ref="A144:D159" totalsRowShown="0" headerRowDxfId="1607" dataDxfId="1605" headerRowBorderDxfId="1606" tableBorderDxfId="1604" headerRowCellStyle="40% - Accent6">
  <autoFilter ref="A144:D159"/>
  <tableColumns count="4">
    <tableColumn id="1" name="Expense" dataDxfId="1603"/>
    <tableColumn id="2" name="Description" dataDxfId="1602"/>
    <tableColumn id="4" name="Label Name" dataDxfId="1601"/>
    <tableColumn id="5" name="Amount" dataDxfId="1600" dataCellStyle="40% - Accent6"/>
  </tableColumns>
  <tableStyleInfo name="TableStyleLight18" showFirstColumn="0" showLastColumn="0" showRowStripes="1" showColumnStripes="0"/>
</table>
</file>

<file path=xl/tables/table602.xml><?xml version="1.0" encoding="utf-8"?>
<table xmlns="http://schemas.openxmlformats.org/spreadsheetml/2006/main" id="602" name="Grass_76" displayName="Grass_76" ref="A11:D26" totalsRowShown="0" headerRowDxfId="1599" dataDxfId="1597" headerRowBorderDxfId="1598" tableBorderDxfId="1596" headerRowCellStyle="40% - Accent6">
  <autoFilter ref="A11:D26"/>
  <tableColumns count="4">
    <tableColumn id="1" name="Expense" dataDxfId="1595"/>
    <tableColumn id="2" name="Description" dataDxfId="1594"/>
    <tableColumn id="4" name="Label Name" dataDxfId="1593"/>
    <tableColumn id="5" name="Amount" dataDxfId="1592" dataCellStyle="20% - Accent6"/>
  </tableColumns>
  <tableStyleInfo name="TableStyleLight18" showFirstColumn="0" showLastColumn="0" showRowStripes="1" showColumnStripes="0"/>
</table>
</file>

<file path=xl/tables/table603.xml><?xml version="1.0" encoding="utf-8"?>
<table xmlns="http://schemas.openxmlformats.org/spreadsheetml/2006/main" id="603" name="Tree_76" displayName="Tree_76" ref="A30:D45" totalsRowShown="0" headerRowDxfId="1591" dataDxfId="1589" headerRowBorderDxfId="1590" tableBorderDxfId="1588" headerRowCellStyle="40% - Accent6">
  <autoFilter ref="A30:D45"/>
  <tableColumns count="4">
    <tableColumn id="1" name="Expense" dataDxfId="1587"/>
    <tableColumn id="2" name="Description" dataDxfId="1586"/>
    <tableColumn id="4" name="Label Name" dataDxfId="1585"/>
    <tableColumn id="5" name="Amount" dataDxfId="1584" dataCellStyle="40% - Accent6"/>
  </tableColumns>
  <tableStyleInfo name="TableStyleLight18" showFirstColumn="0" showLastColumn="0" showRowStripes="1" showColumnStripes="0"/>
</table>
</file>

<file path=xl/tables/table604.xml><?xml version="1.0" encoding="utf-8"?>
<table xmlns="http://schemas.openxmlformats.org/spreadsheetml/2006/main" id="604" name="Pest_76" displayName="Pest_76" ref="A49:D64" totalsRowShown="0" headerRowDxfId="1583" dataDxfId="1581" headerRowBorderDxfId="1582" tableBorderDxfId="1580" headerRowCellStyle="40% - Accent6">
  <autoFilter ref="A49:D64"/>
  <tableColumns count="4">
    <tableColumn id="1" name="Expense" dataDxfId="1579"/>
    <tableColumn id="2" name="Description" dataDxfId="1578"/>
    <tableColumn id="4" name="Label Name" dataDxfId="1577"/>
    <tableColumn id="5" name="Amount" dataDxfId="1576" dataCellStyle="40% - Accent6"/>
  </tableColumns>
  <tableStyleInfo name="TableStyleLight18" showFirstColumn="0" showLastColumn="0" showRowStripes="1" showColumnStripes="0"/>
</table>
</file>

<file path=xl/tables/table605.xml><?xml version="1.0" encoding="utf-8"?>
<table xmlns="http://schemas.openxmlformats.org/spreadsheetml/2006/main" id="605" name="Garbage_76" displayName="Garbage_76" ref="A68:D83" totalsRowShown="0" headerRowDxfId="1575" dataDxfId="1573" headerRowBorderDxfId="1574" tableBorderDxfId="1572" headerRowCellStyle="40% - Accent6">
  <autoFilter ref="A68:D83"/>
  <tableColumns count="4">
    <tableColumn id="1" name="Expense" dataDxfId="1571"/>
    <tableColumn id="2" name="Description" dataDxfId="1570"/>
    <tableColumn id="4" name="Label Name" dataDxfId="1569"/>
    <tableColumn id="5" name="Amount" dataDxfId="1568" dataCellStyle="20% - Accent6"/>
  </tableColumns>
  <tableStyleInfo name="TableStyleLight18" showFirstColumn="0" showLastColumn="0" showRowStripes="1" showColumnStripes="0"/>
</table>
</file>

<file path=xl/tables/table606.xml><?xml version="1.0" encoding="utf-8"?>
<table xmlns="http://schemas.openxmlformats.org/spreadsheetml/2006/main" id="606" name="Boarding_76" displayName="Boarding_76" ref="A87:D102" totalsRowShown="0" headerRowDxfId="1567" dataDxfId="1565" headerRowBorderDxfId="1566" tableBorderDxfId="1564" headerRowCellStyle="40% - Accent6">
  <autoFilter ref="A87:D102"/>
  <tableColumns count="4">
    <tableColumn id="1" name="Expense" dataDxfId="1563"/>
    <tableColumn id="2" name="Description" dataDxfId="1562"/>
    <tableColumn id="4" name="Label Name" dataDxfId="1561"/>
    <tableColumn id="5" name="Amount" dataDxfId="1560" dataCellStyle="40% - Accent6"/>
  </tableColumns>
  <tableStyleInfo name="TableStyleLight18" showFirstColumn="0" showLastColumn="0" showRowStripes="1" showColumnStripes="0"/>
</table>
</file>

<file path=xl/tables/table607.xml><?xml version="1.0" encoding="utf-8"?>
<table xmlns="http://schemas.openxmlformats.org/spreadsheetml/2006/main" id="607" name="Fence_76" displayName="Fence_76" ref="A106:D121" totalsRowShown="0" headerRowDxfId="1559" dataDxfId="1557" headerRowBorderDxfId="1558" tableBorderDxfId="1556" headerRowCellStyle="40% - Accent6">
  <autoFilter ref="A106:D121"/>
  <tableColumns count="4">
    <tableColumn id="1" name="Expense" dataDxfId="1555"/>
    <tableColumn id="2" name="Description" dataDxfId="1554"/>
    <tableColumn id="4" name="Label Name" dataDxfId="1553"/>
    <tableColumn id="5" name="Amount" dataDxfId="1552" dataCellStyle="40% - Accent6"/>
  </tableColumns>
  <tableStyleInfo name="TableStyleLight18" showFirstColumn="0" showLastColumn="0" showRowStripes="1" showColumnStripes="0"/>
</table>
</file>

<file path=xl/tables/table608.xml><?xml version="1.0" encoding="utf-8"?>
<table xmlns="http://schemas.openxmlformats.org/spreadsheetml/2006/main" id="608" name="Demolition_76" displayName="Demolition_76" ref="A125:D140" totalsRowShown="0" headerRowDxfId="1551" dataDxfId="1549" headerRowBorderDxfId="1550" tableBorderDxfId="1548" headerRowCellStyle="40% - Accent6">
  <autoFilter ref="A125:D140"/>
  <tableColumns count="4">
    <tableColumn id="1" name="Expense" dataDxfId="1547"/>
    <tableColumn id="2" name="Description" dataDxfId="1546"/>
    <tableColumn id="4" name="Label Name" dataDxfId="1545"/>
    <tableColumn id="5" name="Amount" dataDxfId="1544" dataCellStyle="40% - Accent6"/>
  </tableColumns>
  <tableStyleInfo name="TableStyleLight18" showFirstColumn="0" showLastColumn="0" showRowStripes="1" showColumnStripes="0"/>
</table>
</file>

<file path=xl/tables/table609.xml><?xml version="1.0" encoding="utf-8"?>
<table xmlns="http://schemas.openxmlformats.org/spreadsheetml/2006/main" id="609" name="Rehab_76" displayName="Rehab_76" ref="A144:D159" totalsRowShown="0" headerRowDxfId="1543" dataDxfId="1541" headerRowBorderDxfId="1542" tableBorderDxfId="1540" headerRowCellStyle="40% - Accent6">
  <autoFilter ref="A144:D159"/>
  <tableColumns count="4">
    <tableColumn id="1" name="Expense" dataDxfId="1539"/>
    <tableColumn id="2" name="Description" dataDxfId="1538"/>
    <tableColumn id="4" name="Label Name" dataDxfId="1537"/>
    <tableColumn id="5" name="Amount" dataDxfId="1536" dataCellStyle="40% - Accent6"/>
  </tableColumns>
  <tableStyleInfo name="TableStyleLight18" showFirstColumn="0" showLastColumn="0" showRowStripes="1" showColumnStripes="0"/>
</table>
</file>

<file path=xl/tables/table61.xml><?xml version="1.0" encoding="utf-8"?>
<table xmlns="http://schemas.openxmlformats.org/spreadsheetml/2006/main" id="126" name="Garbage_8" displayName="Garbage_8" ref="A68:D83" totalsRowShown="0" headerRowDxfId="5927" dataDxfId="5925" headerRowBorderDxfId="5926" tableBorderDxfId="5924" headerRowCellStyle="40% - Accent6">
  <autoFilter ref="A68:D83"/>
  <tableColumns count="4">
    <tableColumn id="1" name="Expense" dataDxfId="5923"/>
    <tableColumn id="2" name="Description" dataDxfId="5922"/>
    <tableColumn id="4" name="Label Name" dataDxfId="5921"/>
    <tableColumn id="5" name="Amount" dataDxfId="5920" dataCellStyle="20% - Accent6"/>
  </tableColumns>
  <tableStyleInfo name="TableStyleLight18" showFirstColumn="0" showLastColumn="0" showRowStripes="1" showColumnStripes="0"/>
</table>
</file>

<file path=xl/tables/table610.xml><?xml version="1.0" encoding="utf-8"?>
<table xmlns="http://schemas.openxmlformats.org/spreadsheetml/2006/main" id="610" name="Grass_77" displayName="Grass_77" ref="A11:D26" totalsRowShown="0" headerRowDxfId="1535" dataDxfId="1533" headerRowBorderDxfId="1534" tableBorderDxfId="1532" headerRowCellStyle="40% - Accent6">
  <autoFilter ref="A11:D26"/>
  <tableColumns count="4">
    <tableColumn id="1" name="Expense" dataDxfId="1531"/>
    <tableColumn id="2" name="Description" dataDxfId="1530"/>
    <tableColumn id="4" name="Label Name" dataDxfId="1529"/>
    <tableColumn id="5" name="Amount" dataDxfId="1528" dataCellStyle="20% - Accent6"/>
  </tableColumns>
  <tableStyleInfo name="TableStyleLight18" showFirstColumn="0" showLastColumn="0" showRowStripes="1" showColumnStripes="0"/>
</table>
</file>

<file path=xl/tables/table611.xml><?xml version="1.0" encoding="utf-8"?>
<table xmlns="http://schemas.openxmlformats.org/spreadsheetml/2006/main" id="611" name="Tree_77" displayName="Tree_77" ref="A30:D45" totalsRowShown="0" headerRowDxfId="1527" dataDxfId="1525" headerRowBorderDxfId="1526" tableBorderDxfId="1524" headerRowCellStyle="40% - Accent6">
  <autoFilter ref="A30:D45"/>
  <tableColumns count="4">
    <tableColumn id="1" name="Expense" dataDxfId="1523"/>
    <tableColumn id="2" name="Description" dataDxfId="1522"/>
    <tableColumn id="4" name="Label Name" dataDxfId="1521"/>
    <tableColumn id="5" name="Amount" dataDxfId="1520" dataCellStyle="40% - Accent6"/>
  </tableColumns>
  <tableStyleInfo name="TableStyleLight18" showFirstColumn="0" showLastColumn="0" showRowStripes="1" showColumnStripes="0"/>
</table>
</file>

<file path=xl/tables/table612.xml><?xml version="1.0" encoding="utf-8"?>
<table xmlns="http://schemas.openxmlformats.org/spreadsheetml/2006/main" id="612" name="Pest_77" displayName="Pest_77" ref="A49:D64" totalsRowShown="0" headerRowDxfId="1519" dataDxfId="1517" headerRowBorderDxfId="1518" tableBorderDxfId="1516" headerRowCellStyle="40% - Accent6">
  <autoFilter ref="A49:D64"/>
  <tableColumns count="4">
    <tableColumn id="1" name="Expense" dataDxfId="1515"/>
    <tableColumn id="2" name="Description" dataDxfId="1514"/>
    <tableColumn id="4" name="Label Name" dataDxfId="1513"/>
    <tableColumn id="5" name="Amount" dataDxfId="1512" dataCellStyle="40% - Accent6"/>
  </tableColumns>
  <tableStyleInfo name="TableStyleLight18" showFirstColumn="0" showLastColumn="0" showRowStripes="1" showColumnStripes="0"/>
</table>
</file>

<file path=xl/tables/table613.xml><?xml version="1.0" encoding="utf-8"?>
<table xmlns="http://schemas.openxmlformats.org/spreadsheetml/2006/main" id="613" name="Garbage_77" displayName="Garbage_77" ref="A68:D83" totalsRowShown="0" headerRowDxfId="1511" dataDxfId="1509" headerRowBorderDxfId="1510" tableBorderDxfId="1508" headerRowCellStyle="40% - Accent6">
  <autoFilter ref="A68:D83"/>
  <tableColumns count="4">
    <tableColumn id="1" name="Expense" dataDxfId="1507"/>
    <tableColumn id="2" name="Description" dataDxfId="1506"/>
    <tableColumn id="4" name="Label Name" dataDxfId="1505"/>
    <tableColumn id="5" name="Amount" dataDxfId="1504" dataCellStyle="20% - Accent6"/>
  </tableColumns>
  <tableStyleInfo name="TableStyleLight18" showFirstColumn="0" showLastColumn="0" showRowStripes="1" showColumnStripes="0"/>
</table>
</file>

<file path=xl/tables/table614.xml><?xml version="1.0" encoding="utf-8"?>
<table xmlns="http://schemas.openxmlformats.org/spreadsheetml/2006/main" id="614" name="Boarding_77" displayName="Boarding_77" ref="A87:D102" totalsRowShown="0" headerRowDxfId="1503" dataDxfId="1501" headerRowBorderDxfId="1502" tableBorderDxfId="1500" headerRowCellStyle="40% - Accent6">
  <autoFilter ref="A87:D102"/>
  <tableColumns count="4">
    <tableColumn id="1" name="Expense" dataDxfId="1499"/>
    <tableColumn id="2" name="Description" dataDxfId="1498"/>
    <tableColumn id="4" name="Label Name" dataDxfId="1497"/>
    <tableColumn id="5" name="Amount" dataDxfId="1496" dataCellStyle="40% - Accent6"/>
  </tableColumns>
  <tableStyleInfo name="TableStyleLight18" showFirstColumn="0" showLastColumn="0" showRowStripes="1" showColumnStripes="0"/>
</table>
</file>

<file path=xl/tables/table615.xml><?xml version="1.0" encoding="utf-8"?>
<table xmlns="http://schemas.openxmlformats.org/spreadsheetml/2006/main" id="615" name="Fence_77" displayName="Fence_77" ref="A106:D121" totalsRowShown="0" headerRowDxfId="1495" dataDxfId="1493" headerRowBorderDxfId="1494" tableBorderDxfId="1492" headerRowCellStyle="40% - Accent6">
  <autoFilter ref="A106:D121"/>
  <tableColumns count="4">
    <tableColumn id="1" name="Expense" dataDxfId="1491"/>
    <tableColumn id="2" name="Description" dataDxfId="1490"/>
    <tableColumn id="4" name="Label Name" dataDxfId="1489"/>
    <tableColumn id="5" name="Amount" dataDxfId="1488" dataCellStyle="40% - Accent6"/>
  </tableColumns>
  <tableStyleInfo name="TableStyleLight18" showFirstColumn="0" showLastColumn="0" showRowStripes="1" showColumnStripes="0"/>
</table>
</file>

<file path=xl/tables/table616.xml><?xml version="1.0" encoding="utf-8"?>
<table xmlns="http://schemas.openxmlformats.org/spreadsheetml/2006/main" id="616" name="Demolition_77" displayName="Demolition_77" ref="A125:D140" totalsRowShown="0" headerRowDxfId="1487" dataDxfId="1485" headerRowBorderDxfId="1486" tableBorderDxfId="1484" headerRowCellStyle="40% - Accent6">
  <autoFilter ref="A125:D140"/>
  <tableColumns count="4">
    <tableColumn id="1" name="Expense" dataDxfId="1483"/>
    <tableColumn id="2" name="Description" dataDxfId="1482"/>
    <tableColumn id="4" name="Label Name" dataDxfId="1481"/>
    <tableColumn id="5" name="Amount" dataDxfId="1480" dataCellStyle="40% - Accent6"/>
  </tableColumns>
  <tableStyleInfo name="TableStyleLight18" showFirstColumn="0" showLastColumn="0" showRowStripes="1" showColumnStripes="0"/>
</table>
</file>

<file path=xl/tables/table617.xml><?xml version="1.0" encoding="utf-8"?>
<table xmlns="http://schemas.openxmlformats.org/spreadsheetml/2006/main" id="617" name="Rehab_77" displayName="Rehab_77" ref="A144:D159" totalsRowShown="0" headerRowDxfId="1479" dataDxfId="1477" headerRowBorderDxfId="1478" tableBorderDxfId="1476" headerRowCellStyle="40% - Accent6">
  <autoFilter ref="A144:D159"/>
  <tableColumns count="4">
    <tableColumn id="1" name="Expense" dataDxfId="1475"/>
    <tableColumn id="2" name="Description" dataDxfId="1474"/>
    <tableColumn id="4" name="Label Name" dataDxfId="1473"/>
    <tableColumn id="5" name="Amount" dataDxfId="1472" dataCellStyle="40% - Accent6"/>
  </tableColumns>
  <tableStyleInfo name="TableStyleLight18" showFirstColumn="0" showLastColumn="0" showRowStripes="1" showColumnStripes="0"/>
</table>
</file>

<file path=xl/tables/table618.xml><?xml version="1.0" encoding="utf-8"?>
<table xmlns="http://schemas.openxmlformats.org/spreadsheetml/2006/main" id="618" name="Grass_78" displayName="Grass_78" ref="A11:D26" totalsRowShown="0" headerRowDxfId="1471" dataDxfId="1469" headerRowBorderDxfId="1470" tableBorderDxfId="1468" headerRowCellStyle="40% - Accent6">
  <autoFilter ref="A11:D26"/>
  <tableColumns count="4">
    <tableColumn id="1" name="Expense" dataDxfId="1467"/>
    <tableColumn id="2" name="Description" dataDxfId="1466"/>
    <tableColumn id="4" name="Label Name" dataDxfId="1465"/>
    <tableColumn id="5" name="Amount" dataDxfId="1464" dataCellStyle="20% - Accent6"/>
  </tableColumns>
  <tableStyleInfo name="TableStyleLight18" showFirstColumn="0" showLastColumn="0" showRowStripes="1" showColumnStripes="0"/>
</table>
</file>

<file path=xl/tables/table619.xml><?xml version="1.0" encoding="utf-8"?>
<table xmlns="http://schemas.openxmlformats.org/spreadsheetml/2006/main" id="619" name="Tree_78" displayName="Tree_78" ref="A30:D45" totalsRowShown="0" headerRowDxfId="1463" dataDxfId="1461" headerRowBorderDxfId="1462" tableBorderDxfId="1460" headerRowCellStyle="40% - Accent6">
  <autoFilter ref="A30:D45"/>
  <tableColumns count="4">
    <tableColumn id="1" name="Expense" dataDxfId="1459"/>
    <tableColumn id="2" name="Description" dataDxfId="1458"/>
    <tableColumn id="4" name="Label Name" dataDxfId="1457"/>
    <tableColumn id="5" name="Amount" dataDxfId="1456" dataCellStyle="40% - Accent6"/>
  </tableColumns>
  <tableStyleInfo name="TableStyleLight18" showFirstColumn="0" showLastColumn="0" showRowStripes="1" showColumnStripes="0"/>
</table>
</file>

<file path=xl/tables/table62.xml><?xml version="1.0" encoding="utf-8"?>
<table xmlns="http://schemas.openxmlformats.org/spreadsheetml/2006/main" id="127" name="Boarding_8" displayName="Boarding_8" ref="A87:D102" totalsRowShown="0" headerRowDxfId="5919" dataDxfId="5917" headerRowBorderDxfId="5918" tableBorderDxfId="5916" headerRowCellStyle="40% - Accent6">
  <autoFilter ref="A87:D102"/>
  <tableColumns count="4">
    <tableColumn id="1" name="Expense" dataDxfId="5915"/>
    <tableColumn id="2" name="Description" dataDxfId="5914"/>
    <tableColumn id="4" name="Label Name" dataDxfId="5913"/>
    <tableColumn id="5" name="Amount" dataDxfId="5912" dataCellStyle="40% - Accent6"/>
  </tableColumns>
  <tableStyleInfo name="TableStyleLight18" showFirstColumn="0" showLastColumn="0" showRowStripes="1" showColumnStripes="0"/>
</table>
</file>

<file path=xl/tables/table620.xml><?xml version="1.0" encoding="utf-8"?>
<table xmlns="http://schemas.openxmlformats.org/spreadsheetml/2006/main" id="620" name="Pest_78" displayName="Pest_78" ref="A49:D64" totalsRowShown="0" headerRowDxfId="1455" dataDxfId="1453" headerRowBorderDxfId="1454" tableBorderDxfId="1452" headerRowCellStyle="40% - Accent6">
  <autoFilter ref="A49:D64"/>
  <tableColumns count="4">
    <tableColumn id="1" name="Expense" dataDxfId="1451"/>
    <tableColumn id="2" name="Description" dataDxfId="1450"/>
    <tableColumn id="4" name="Label Name" dataDxfId="1449"/>
    <tableColumn id="5" name="Amount" dataDxfId="1448" dataCellStyle="40% - Accent6"/>
  </tableColumns>
  <tableStyleInfo name="TableStyleLight18" showFirstColumn="0" showLastColumn="0" showRowStripes="1" showColumnStripes="0"/>
</table>
</file>

<file path=xl/tables/table621.xml><?xml version="1.0" encoding="utf-8"?>
<table xmlns="http://schemas.openxmlformats.org/spreadsheetml/2006/main" id="621" name="Garbage_78" displayName="Garbage_78" ref="A68:D83" totalsRowShown="0" headerRowDxfId="1447" dataDxfId="1445" headerRowBorderDxfId="1446" tableBorderDxfId="1444" headerRowCellStyle="40% - Accent6">
  <autoFilter ref="A68:D83"/>
  <tableColumns count="4">
    <tableColumn id="1" name="Expense" dataDxfId="1443"/>
    <tableColumn id="2" name="Description" dataDxfId="1442"/>
    <tableColumn id="4" name="Label Name" dataDxfId="1441"/>
    <tableColumn id="5" name="Amount" dataDxfId="1440" dataCellStyle="20% - Accent6"/>
  </tableColumns>
  <tableStyleInfo name="TableStyleLight18" showFirstColumn="0" showLastColumn="0" showRowStripes="1" showColumnStripes="0"/>
</table>
</file>

<file path=xl/tables/table622.xml><?xml version="1.0" encoding="utf-8"?>
<table xmlns="http://schemas.openxmlformats.org/spreadsheetml/2006/main" id="622" name="Boarding_78" displayName="Boarding_78" ref="A87:D102" totalsRowShown="0" headerRowDxfId="1439" dataDxfId="1437" headerRowBorderDxfId="1438" tableBorderDxfId="1436" headerRowCellStyle="40% - Accent6">
  <autoFilter ref="A87:D102"/>
  <tableColumns count="4">
    <tableColumn id="1" name="Expense" dataDxfId="1435"/>
    <tableColumn id="2" name="Description" dataDxfId="1434"/>
    <tableColumn id="4" name="Label Name" dataDxfId="1433"/>
    <tableColumn id="5" name="Amount" dataDxfId="1432" dataCellStyle="40% - Accent6"/>
  </tableColumns>
  <tableStyleInfo name="TableStyleLight18" showFirstColumn="0" showLastColumn="0" showRowStripes="1" showColumnStripes="0"/>
</table>
</file>

<file path=xl/tables/table623.xml><?xml version="1.0" encoding="utf-8"?>
<table xmlns="http://schemas.openxmlformats.org/spreadsheetml/2006/main" id="623" name="Fence_78" displayName="Fence_78" ref="A106:D121" totalsRowShown="0" headerRowDxfId="1431" dataDxfId="1429" headerRowBorderDxfId="1430" tableBorderDxfId="1428" headerRowCellStyle="40% - Accent6">
  <autoFilter ref="A106:D121"/>
  <tableColumns count="4">
    <tableColumn id="1" name="Expense" dataDxfId="1427"/>
    <tableColumn id="2" name="Description" dataDxfId="1426"/>
    <tableColumn id="4" name="Label Name" dataDxfId="1425"/>
    <tableColumn id="5" name="Amount" dataDxfId="1424" dataCellStyle="40% - Accent6"/>
  </tableColumns>
  <tableStyleInfo name="TableStyleLight18" showFirstColumn="0" showLastColumn="0" showRowStripes="1" showColumnStripes="0"/>
</table>
</file>

<file path=xl/tables/table624.xml><?xml version="1.0" encoding="utf-8"?>
<table xmlns="http://schemas.openxmlformats.org/spreadsheetml/2006/main" id="624" name="Demolition_78" displayName="Demolition_78" ref="A125:D140" totalsRowShown="0" headerRowDxfId="1423" dataDxfId="1421" headerRowBorderDxfId="1422" tableBorderDxfId="1420" headerRowCellStyle="40% - Accent6">
  <autoFilter ref="A125:D140"/>
  <tableColumns count="4">
    <tableColumn id="1" name="Expense" dataDxfId="1419"/>
    <tableColumn id="2" name="Description" dataDxfId="1418"/>
    <tableColumn id="4" name="Label Name" dataDxfId="1417"/>
    <tableColumn id="5" name="Amount" dataDxfId="1416" dataCellStyle="40% - Accent6"/>
  </tableColumns>
  <tableStyleInfo name="TableStyleLight18" showFirstColumn="0" showLastColumn="0" showRowStripes="1" showColumnStripes="0"/>
</table>
</file>

<file path=xl/tables/table625.xml><?xml version="1.0" encoding="utf-8"?>
<table xmlns="http://schemas.openxmlformats.org/spreadsheetml/2006/main" id="625" name="Rehab_78" displayName="Rehab_78" ref="A144:D159" totalsRowShown="0" headerRowDxfId="1415" dataDxfId="1413" headerRowBorderDxfId="1414" tableBorderDxfId="1412" headerRowCellStyle="40% - Accent6">
  <autoFilter ref="A144:D159"/>
  <tableColumns count="4">
    <tableColumn id="1" name="Expense" dataDxfId="1411"/>
    <tableColumn id="2" name="Description" dataDxfId="1410"/>
    <tableColumn id="4" name="Label Name" dataDxfId="1409"/>
    <tableColumn id="5" name="Amount" dataDxfId="1408" dataCellStyle="40% - Accent6"/>
  </tableColumns>
  <tableStyleInfo name="TableStyleLight18" showFirstColumn="0" showLastColumn="0" showRowStripes="1" showColumnStripes="0"/>
</table>
</file>

<file path=xl/tables/table626.xml><?xml version="1.0" encoding="utf-8"?>
<table xmlns="http://schemas.openxmlformats.org/spreadsheetml/2006/main" id="626" name="Grass_79" displayName="Grass_79" ref="A11:D26" totalsRowShown="0" headerRowDxfId="1407" dataDxfId="1405" headerRowBorderDxfId="1406" tableBorderDxfId="1404" headerRowCellStyle="40% - Accent6">
  <autoFilter ref="A11:D26"/>
  <tableColumns count="4">
    <tableColumn id="1" name="Expense" dataDxfId="1403"/>
    <tableColumn id="2" name="Description" dataDxfId="1402"/>
    <tableColumn id="4" name="Label Name" dataDxfId="1401"/>
    <tableColumn id="5" name="Amount" dataDxfId="1400" dataCellStyle="20% - Accent6"/>
  </tableColumns>
  <tableStyleInfo name="TableStyleLight18" showFirstColumn="0" showLastColumn="0" showRowStripes="1" showColumnStripes="0"/>
</table>
</file>

<file path=xl/tables/table627.xml><?xml version="1.0" encoding="utf-8"?>
<table xmlns="http://schemas.openxmlformats.org/spreadsheetml/2006/main" id="627" name="Tree_79" displayName="Tree_79" ref="A30:D45" totalsRowShown="0" headerRowDxfId="1399" dataDxfId="1397" headerRowBorderDxfId="1398" tableBorderDxfId="1396" headerRowCellStyle="40% - Accent6">
  <autoFilter ref="A30:D45"/>
  <tableColumns count="4">
    <tableColumn id="1" name="Expense" dataDxfId="1395"/>
    <tableColumn id="2" name="Description" dataDxfId="1394"/>
    <tableColumn id="4" name="Label Name" dataDxfId="1393"/>
    <tableColumn id="5" name="Amount" dataDxfId="1392" dataCellStyle="40% - Accent6"/>
  </tableColumns>
  <tableStyleInfo name="TableStyleLight18" showFirstColumn="0" showLastColumn="0" showRowStripes="1" showColumnStripes="0"/>
</table>
</file>

<file path=xl/tables/table628.xml><?xml version="1.0" encoding="utf-8"?>
<table xmlns="http://schemas.openxmlformats.org/spreadsheetml/2006/main" id="628" name="Pest_79" displayName="Pest_79" ref="A49:D64" totalsRowShown="0" headerRowDxfId="1391" dataDxfId="1389" headerRowBorderDxfId="1390" tableBorderDxfId="1388" headerRowCellStyle="40% - Accent6">
  <autoFilter ref="A49:D64"/>
  <tableColumns count="4">
    <tableColumn id="1" name="Expense" dataDxfId="1387"/>
    <tableColumn id="2" name="Description" dataDxfId="1386"/>
    <tableColumn id="4" name="Label Name" dataDxfId="1385"/>
    <tableColumn id="5" name="Amount" dataDxfId="1384" dataCellStyle="40% - Accent6"/>
  </tableColumns>
  <tableStyleInfo name="TableStyleLight18" showFirstColumn="0" showLastColumn="0" showRowStripes="1" showColumnStripes="0"/>
</table>
</file>

<file path=xl/tables/table629.xml><?xml version="1.0" encoding="utf-8"?>
<table xmlns="http://schemas.openxmlformats.org/spreadsheetml/2006/main" id="629" name="Garbage_79" displayName="Garbage_79" ref="A68:D83" totalsRowShown="0" headerRowDxfId="1383" dataDxfId="1381" headerRowBorderDxfId="1382" tableBorderDxfId="1380" headerRowCellStyle="40% - Accent6">
  <autoFilter ref="A68:D83"/>
  <tableColumns count="4">
    <tableColumn id="1" name="Expense" dataDxfId="1379"/>
    <tableColumn id="2" name="Description" dataDxfId="1378"/>
    <tableColumn id="4" name="Label Name" dataDxfId="1377"/>
    <tableColumn id="5" name="Amount" dataDxfId="1376" dataCellStyle="20% - Accent6"/>
  </tableColumns>
  <tableStyleInfo name="TableStyleLight18" showFirstColumn="0" showLastColumn="0" showRowStripes="1" showColumnStripes="0"/>
</table>
</file>

<file path=xl/tables/table63.xml><?xml version="1.0" encoding="utf-8"?>
<table xmlns="http://schemas.openxmlformats.org/spreadsheetml/2006/main" id="128" name="Fence_8" displayName="Fence_8" ref="A106:D121" totalsRowShown="0" headerRowDxfId="5911" dataDxfId="5909" headerRowBorderDxfId="5910" tableBorderDxfId="5908" headerRowCellStyle="40% - Accent6">
  <autoFilter ref="A106:D121"/>
  <tableColumns count="4">
    <tableColumn id="1" name="Expense" dataDxfId="5907"/>
    <tableColumn id="2" name="Description" dataDxfId="5906"/>
    <tableColumn id="4" name="Label Name" dataDxfId="5905"/>
    <tableColumn id="5" name="Amount" dataDxfId="5904" dataCellStyle="40% - Accent6"/>
  </tableColumns>
  <tableStyleInfo name="TableStyleLight18" showFirstColumn="0" showLastColumn="0" showRowStripes="1" showColumnStripes="0"/>
</table>
</file>

<file path=xl/tables/table630.xml><?xml version="1.0" encoding="utf-8"?>
<table xmlns="http://schemas.openxmlformats.org/spreadsheetml/2006/main" id="630" name="Boarding_79" displayName="Boarding_79" ref="A87:D102" totalsRowShown="0" headerRowDxfId="1375" dataDxfId="1373" headerRowBorderDxfId="1374" tableBorderDxfId="1372" headerRowCellStyle="40% - Accent6">
  <autoFilter ref="A87:D102"/>
  <tableColumns count="4">
    <tableColumn id="1" name="Expense" dataDxfId="1371"/>
    <tableColumn id="2" name="Description" dataDxfId="1370"/>
    <tableColumn id="4" name="Label Name" dataDxfId="1369"/>
    <tableColumn id="5" name="Amount" dataDxfId="1368" dataCellStyle="40% - Accent6"/>
  </tableColumns>
  <tableStyleInfo name="TableStyleLight18" showFirstColumn="0" showLastColumn="0" showRowStripes="1" showColumnStripes="0"/>
</table>
</file>

<file path=xl/tables/table631.xml><?xml version="1.0" encoding="utf-8"?>
<table xmlns="http://schemas.openxmlformats.org/spreadsheetml/2006/main" id="631" name="Fence_79" displayName="Fence_79" ref="A106:D121" totalsRowShown="0" headerRowDxfId="1367" dataDxfId="1365" headerRowBorderDxfId="1366" tableBorderDxfId="1364" headerRowCellStyle="40% - Accent6">
  <autoFilter ref="A106:D121"/>
  <tableColumns count="4">
    <tableColumn id="1" name="Expense" dataDxfId="1363"/>
    <tableColumn id="2" name="Description" dataDxfId="1362"/>
    <tableColumn id="4" name="Label Name" dataDxfId="1361"/>
    <tableColumn id="5" name="Amount" dataDxfId="1360" dataCellStyle="40% - Accent6"/>
  </tableColumns>
  <tableStyleInfo name="TableStyleLight18" showFirstColumn="0" showLastColumn="0" showRowStripes="1" showColumnStripes="0"/>
</table>
</file>

<file path=xl/tables/table632.xml><?xml version="1.0" encoding="utf-8"?>
<table xmlns="http://schemas.openxmlformats.org/spreadsheetml/2006/main" id="632" name="Demolition_79" displayName="Demolition_79" ref="A125:D140" totalsRowShown="0" headerRowDxfId="1359" dataDxfId="1357" headerRowBorderDxfId="1358" tableBorderDxfId="1356" headerRowCellStyle="40% - Accent6">
  <autoFilter ref="A125:D140"/>
  <tableColumns count="4">
    <tableColumn id="1" name="Expense" dataDxfId="1355"/>
    <tableColumn id="2" name="Description" dataDxfId="1354"/>
    <tableColumn id="4" name="Label Name" dataDxfId="1353"/>
    <tableColumn id="5" name="Amount" dataDxfId="1352" dataCellStyle="40% - Accent6"/>
  </tableColumns>
  <tableStyleInfo name="TableStyleLight18" showFirstColumn="0" showLastColumn="0" showRowStripes="1" showColumnStripes="0"/>
</table>
</file>

<file path=xl/tables/table633.xml><?xml version="1.0" encoding="utf-8"?>
<table xmlns="http://schemas.openxmlformats.org/spreadsheetml/2006/main" id="633" name="Rehab_79" displayName="Rehab_79" ref="A144:D159" totalsRowShown="0" headerRowDxfId="1351" dataDxfId="1349" headerRowBorderDxfId="1350" tableBorderDxfId="1348" headerRowCellStyle="40% - Accent6">
  <autoFilter ref="A144:D159"/>
  <tableColumns count="4">
    <tableColumn id="1" name="Expense" dataDxfId="1347"/>
    <tableColumn id="2" name="Description" dataDxfId="1346"/>
    <tableColumn id="4" name="Label Name" dataDxfId="1345"/>
    <tableColumn id="5" name="Amount" dataDxfId="1344" dataCellStyle="40% - Accent6"/>
  </tableColumns>
  <tableStyleInfo name="TableStyleLight18" showFirstColumn="0" showLastColumn="0" showRowStripes="1" showColumnStripes="0"/>
</table>
</file>

<file path=xl/tables/table634.xml><?xml version="1.0" encoding="utf-8"?>
<table xmlns="http://schemas.openxmlformats.org/spreadsheetml/2006/main" id="634" name="Grass_80" displayName="Grass_80" ref="A11:D26" totalsRowShown="0" headerRowDxfId="1343" dataDxfId="1341" headerRowBorderDxfId="1342" tableBorderDxfId="1340" headerRowCellStyle="40% - Accent6">
  <autoFilter ref="A11:D26"/>
  <tableColumns count="4">
    <tableColumn id="1" name="Expense" dataDxfId="1339"/>
    <tableColumn id="2" name="Description" dataDxfId="1338"/>
    <tableColumn id="4" name="Label Name" dataDxfId="1337"/>
    <tableColumn id="5" name="Amount" dataDxfId="1336" dataCellStyle="20% - Accent6"/>
  </tableColumns>
  <tableStyleInfo name="TableStyleLight18" showFirstColumn="0" showLastColumn="0" showRowStripes="1" showColumnStripes="0"/>
</table>
</file>

<file path=xl/tables/table635.xml><?xml version="1.0" encoding="utf-8"?>
<table xmlns="http://schemas.openxmlformats.org/spreadsheetml/2006/main" id="635" name="Tree_80" displayName="Tree_80" ref="A30:D45" totalsRowShown="0" headerRowDxfId="1335" dataDxfId="1333" headerRowBorderDxfId="1334" tableBorderDxfId="1332" headerRowCellStyle="40% - Accent6">
  <autoFilter ref="A30:D45"/>
  <tableColumns count="4">
    <tableColumn id="1" name="Expense" dataDxfId="1331"/>
    <tableColumn id="2" name="Description" dataDxfId="1330"/>
    <tableColumn id="4" name="Label Name" dataDxfId="1329"/>
    <tableColumn id="5" name="Amount" dataDxfId="1328" dataCellStyle="40% - Accent6"/>
  </tableColumns>
  <tableStyleInfo name="TableStyleLight18" showFirstColumn="0" showLastColumn="0" showRowStripes="1" showColumnStripes="0"/>
</table>
</file>

<file path=xl/tables/table636.xml><?xml version="1.0" encoding="utf-8"?>
<table xmlns="http://schemas.openxmlformats.org/spreadsheetml/2006/main" id="636" name="Pest_80" displayName="Pest_80" ref="A49:D64" totalsRowShown="0" headerRowDxfId="1327" dataDxfId="1325" headerRowBorderDxfId="1326" tableBorderDxfId="1324" headerRowCellStyle="40% - Accent6">
  <autoFilter ref="A49:D64"/>
  <tableColumns count="4">
    <tableColumn id="1" name="Expense" dataDxfId="1323"/>
    <tableColumn id="2" name="Description" dataDxfId="1322"/>
    <tableColumn id="4" name="Label Name" dataDxfId="1321"/>
    <tableColumn id="5" name="Amount" dataDxfId="1320" dataCellStyle="40% - Accent6"/>
  </tableColumns>
  <tableStyleInfo name="TableStyleLight18" showFirstColumn="0" showLastColumn="0" showRowStripes="1" showColumnStripes="0"/>
</table>
</file>

<file path=xl/tables/table637.xml><?xml version="1.0" encoding="utf-8"?>
<table xmlns="http://schemas.openxmlformats.org/spreadsheetml/2006/main" id="637" name="Garbage_80" displayName="Garbage_80" ref="A68:D83" totalsRowShown="0" headerRowDxfId="1319" dataDxfId="1317" headerRowBorderDxfId="1318" tableBorderDxfId="1316" headerRowCellStyle="40% - Accent6">
  <autoFilter ref="A68:D83"/>
  <tableColumns count="4">
    <tableColumn id="1" name="Expense" dataDxfId="1315"/>
    <tableColumn id="2" name="Description" dataDxfId="1314"/>
    <tableColumn id="4" name="Label Name" dataDxfId="1313"/>
    <tableColumn id="5" name="Amount" dataDxfId="1312" dataCellStyle="20% - Accent6"/>
  </tableColumns>
  <tableStyleInfo name="TableStyleLight18" showFirstColumn="0" showLastColumn="0" showRowStripes="1" showColumnStripes="0"/>
</table>
</file>

<file path=xl/tables/table638.xml><?xml version="1.0" encoding="utf-8"?>
<table xmlns="http://schemas.openxmlformats.org/spreadsheetml/2006/main" id="638" name="Boarding_80" displayName="Boarding_80" ref="A87:D102" totalsRowShown="0" headerRowDxfId="1311" dataDxfId="1309" headerRowBorderDxfId="1310" tableBorderDxfId="1308" headerRowCellStyle="40% - Accent6">
  <autoFilter ref="A87:D102"/>
  <tableColumns count="4">
    <tableColumn id="1" name="Expense" dataDxfId="1307"/>
    <tableColumn id="2" name="Description" dataDxfId="1306"/>
    <tableColumn id="4" name="Label Name" dataDxfId="1305"/>
    <tableColumn id="5" name="Amount" dataDxfId="1304" dataCellStyle="40% - Accent6"/>
  </tableColumns>
  <tableStyleInfo name="TableStyleLight18" showFirstColumn="0" showLastColumn="0" showRowStripes="1" showColumnStripes="0"/>
</table>
</file>

<file path=xl/tables/table639.xml><?xml version="1.0" encoding="utf-8"?>
<table xmlns="http://schemas.openxmlformats.org/spreadsheetml/2006/main" id="639" name="Fence_80" displayName="Fence_80" ref="A106:D121" totalsRowShown="0" headerRowDxfId="1303" dataDxfId="1301" headerRowBorderDxfId="1302" tableBorderDxfId="1300" headerRowCellStyle="40% - Accent6">
  <autoFilter ref="A106:D121"/>
  <tableColumns count="4">
    <tableColumn id="1" name="Expense" dataDxfId="1299"/>
    <tableColumn id="2" name="Description" dataDxfId="1298"/>
    <tableColumn id="4" name="Label Name" dataDxfId="1297"/>
    <tableColumn id="5" name="Amount" dataDxfId="1296" dataCellStyle="40% - Accent6"/>
  </tableColumns>
  <tableStyleInfo name="TableStyleLight18" showFirstColumn="0" showLastColumn="0" showRowStripes="1" showColumnStripes="0"/>
</table>
</file>

<file path=xl/tables/table64.xml><?xml version="1.0" encoding="utf-8"?>
<table xmlns="http://schemas.openxmlformats.org/spreadsheetml/2006/main" id="129" name="Demolition_8" displayName="Demolition_8" ref="A125:D140" totalsRowShown="0" headerRowDxfId="5903" dataDxfId="5901" headerRowBorderDxfId="5902" tableBorderDxfId="5900" headerRowCellStyle="40% - Accent6">
  <autoFilter ref="A125:D140"/>
  <tableColumns count="4">
    <tableColumn id="1" name="Expense" dataDxfId="5899"/>
    <tableColumn id="2" name="Description" dataDxfId="5898"/>
    <tableColumn id="4" name="Label Name" dataDxfId="5897"/>
    <tableColumn id="5" name="Amount" dataDxfId="5896" dataCellStyle="40% - Accent6"/>
  </tableColumns>
  <tableStyleInfo name="TableStyleLight18" showFirstColumn="0" showLastColumn="0" showRowStripes="1" showColumnStripes="0"/>
</table>
</file>

<file path=xl/tables/table640.xml><?xml version="1.0" encoding="utf-8"?>
<table xmlns="http://schemas.openxmlformats.org/spreadsheetml/2006/main" id="640" name="Demolition_80" displayName="Demolition_80" ref="A125:D140" totalsRowShown="0" headerRowDxfId="1295" dataDxfId="1293" headerRowBorderDxfId="1294" tableBorderDxfId="1292" headerRowCellStyle="40% - Accent6">
  <autoFilter ref="A125:D140"/>
  <tableColumns count="4">
    <tableColumn id="1" name="Expense" dataDxfId="1291"/>
    <tableColumn id="2" name="Description" dataDxfId="1290"/>
    <tableColumn id="4" name="Label Name" dataDxfId="1289"/>
    <tableColumn id="5" name="Amount" dataDxfId="1288" dataCellStyle="40% - Accent6"/>
  </tableColumns>
  <tableStyleInfo name="TableStyleLight18" showFirstColumn="0" showLastColumn="0" showRowStripes="1" showColumnStripes="0"/>
</table>
</file>

<file path=xl/tables/table641.xml><?xml version="1.0" encoding="utf-8"?>
<table xmlns="http://schemas.openxmlformats.org/spreadsheetml/2006/main" id="641" name="Rehab_80" displayName="Rehab_80" ref="A144:D159" totalsRowShown="0" headerRowDxfId="1287" dataDxfId="1285" headerRowBorderDxfId="1286" tableBorderDxfId="1284" headerRowCellStyle="40% - Accent6">
  <autoFilter ref="A144:D159"/>
  <tableColumns count="4">
    <tableColumn id="1" name="Expense" dataDxfId="1283"/>
    <tableColumn id="2" name="Description" dataDxfId="1282"/>
    <tableColumn id="4" name="Label Name" dataDxfId="1281"/>
    <tableColumn id="5" name="Amount" dataDxfId="1280" dataCellStyle="40% - Accent6"/>
  </tableColumns>
  <tableStyleInfo name="TableStyleLight18" showFirstColumn="0" showLastColumn="0" showRowStripes="1" showColumnStripes="0"/>
</table>
</file>

<file path=xl/tables/table642.xml><?xml version="1.0" encoding="utf-8"?>
<table xmlns="http://schemas.openxmlformats.org/spreadsheetml/2006/main" id="642" name="Grass_81" displayName="Grass_81" ref="A11:D26" totalsRowShown="0" headerRowDxfId="1279" dataDxfId="1277" headerRowBorderDxfId="1278" tableBorderDxfId="1276" headerRowCellStyle="40% - Accent6">
  <autoFilter ref="A11:D26"/>
  <tableColumns count="4">
    <tableColumn id="1" name="Expense" dataDxfId="1275"/>
    <tableColumn id="2" name="Description" dataDxfId="1274"/>
    <tableColumn id="4" name="Label Name" dataDxfId="1273"/>
    <tableColumn id="5" name="Amount" dataDxfId="1272" dataCellStyle="20% - Accent6"/>
  </tableColumns>
  <tableStyleInfo name="TableStyleLight18" showFirstColumn="0" showLastColumn="0" showRowStripes="1" showColumnStripes="0"/>
</table>
</file>

<file path=xl/tables/table643.xml><?xml version="1.0" encoding="utf-8"?>
<table xmlns="http://schemas.openxmlformats.org/spreadsheetml/2006/main" id="643" name="Tree_81" displayName="Tree_81" ref="A30:D45" totalsRowShown="0" headerRowDxfId="1271" dataDxfId="1269" headerRowBorderDxfId="1270" tableBorderDxfId="1268" headerRowCellStyle="40% - Accent6">
  <autoFilter ref="A30:D45"/>
  <tableColumns count="4">
    <tableColumn id="1" name="Expense" dataDxfId="1267"/>
    <tableColumn id="2" name="Description" dataDxfId="1266"/>
    <tableColumn id="4" name="Label Name" dataDxfId="1265"/>
    <tableColumn id="5" name="Amount" dataDxfId="1264" dataCellStyle="40% - Accent6"/>
  </tableColumns>
  <tableStyleInfo name="TableStyleLight18" showFirstColumn="0" showLastColumn="0" showRowStripes="1" showColumnStripes="0"/>
</table>
</file>

<file path=xl/tables/table644.xml><?xml version="1.0" encoding="utf-8"?>
<table xmlns="http://schemas.openxmlformats.org/spreadsheetml/2006/main" id="644" name="Pest_81" displayName="Pest_81" ref="A49:D64" totalsRowShown="0" headerRowDxfId="1263" dataDxfId="1261" headerRowBorderDxfId="1262" tableBorderDxfId="1260" headerRowCellStyle="40% - Accent6">
  <autoFilter ref="A49:D64"/>
  <tableColumns count="4">
    <tableColumn id="1" name="Expense" dataDxfId="1259"/>
    <tableColumn id="2" name="Description" dataDxfId="1258"/>
    <tableColumn id="4" name="Label Name" dataDxfId="1257"/>
    <tableColumn id="5" name="Amount" dataDxfId="1256" dataCellStyle="40% - Accent6"/>
  </tableColumns>
  <tableStyleInfo name="TableStyleLight18" showFirstColumn="0" showLastColumn="0" showRowStripes="1" showColumnStripes="0"/>
</table>
</file>

<file path=xl/tables/table645.xml><?xml version="1.0" encoding="utf-8"?>
<table xmlns="http://schemas.openxmlformats.org/spreadsheetml/2006/main" id="645" name="Garbage_81" displayName="Garbage_81" ref="A68:D83" totalsRowShown="0" headerRowDxfId="1255" dataDxfId="1253" headerRowBorderDxfId="1254" tableBorderDxfId="1252" headerRowCellStyle="40% - Accent6">
  <autoFilter ref="A68:D83"/>
  <tableColumns count="4">
    <tableColumn id="1" name="Expense" dataDxfId="1251"/>
    <tableColumn id="2" name="Description" dataDxfId="1250"/>
    <tableColumn id="4" name="Label Name" dataDxfId="1249"/>
    <tableColumn id="5" name="Amount" dataDxfId="1248" dataCellStyle="20% - Accent6"/>
  </tableColumns>
  <tableStyleInfo name="TableStyleLight18" showFirstColumn="0" showLastColumn="0" showRowStripes="1" showColumnStripes="0"/>
</table>
</file>

<file path=xl/tables/table646.xml><?xml version="1.0" encoding="utf-8"?>
<table xmlns="http://schemas.openxmlformats.org/spreadsheetml/2006/main" id="646" name="Boarding_81" displayName="Boarding_81" ref="A87:D102" totalsRowShown="0" headerRowDxfId="1247" dataDxfId="1245" headerRowBorderDxfId="1246" tableBorderDxfId="1244" headerRowCellStyle="40% - Accent6">
  <autoFilter ref="A87:D102"/>
  <tableColumns count="4">
    <tableColumn id="1" name="Expense" dataDxfId="1243"/>
    <tableColumn id="2" name="Description" dataDxfId="1242"/>
    <tableColumn id="4" name="Label Name" dataDxfId="1241"/>
    <tableColumn id="5" name="Amount" dataDxfId="1240" dataCellStyle="40% - Accent6"/>
  </tableColumns>
  <tableStyleInfo name="TableStyleLight18" showFirstColumn="0" showLastColumn="0" showRowStripes="1" showColumnStripes="0"/>
</table>
</file>

<file path=xl/tables/table647.xml><?xml version="1.0" encoding="utf-8"?>
<table xmlns="http://schemas.openxmlformats.org/spreadsheetml/2006/main" id="647" name="Fence_81" displayName="Fence_81" ref="A106:D121" totalsRowShown="0" headerRowDxfId="1239" dataDxfId="1237" headerRowBorderDxfId="1238" tableBorderDxfId="1236" headerRowCellStyle="40% - Accent6">
  <autoFilter ref="A106:D121"/>
  <tableColumns count="4">
    <tableColumn id="1" name="Expense" dataDxfId="1235"/>
    <tableColumn id="2" name="Description" dataDxfId="1234"/>
    <tableColumn id="4" name="Label Name" dataDxfId="1233"/>
    <tableColumn id="5" name="Amount" dataDxfId="1232" dataCellStyle="40% - Accent6"/>
  </tableColumns>
  <tableStyleInfo name="TableStyleLight18" showFirstColumn="0" showLastColumn="0" showRowStripes="1" showColumnStripes="0"/>
</table>
</file>

<file path=xl/tables/table648.xml><?xml version="1.0" encoding="utf-8"?>
<table xmlns="http://schemas.openxmlformats.org/spreadsheetml/2006/main" id="648" name="Demolition_81" displayName="Demolition_81" ref="A125:D140" totalsRowShown="0" headerRowDxfId="1231" dataDxfId="1229" headerRowBorderDxfId="1230" tableBorderDxfId="1228" headerRowCellStyle="40% - Accent6">
  <autoFilter ref="A125:D140"/>
  <tableColumns count="4">
    <tableColumn id="1" name="Expense" dataDxfId="1227"/>
    <tableColumn id="2" name="Description" dataDxfId="1226"/>
    <tableColumn id="4" name="Label Name" dataDxfId="1225"/>
    <tableColumn id="5" name="Amount" dataDxfId="1224" dataCellStyle="40% - Accent6"/>
  </tableColumns>
  <tableStyleInfo name="TableStyleLight18" showFirstColumn="0" showLastColumn="0" showRowStripes="1" showColumnStripes="0"/>
</table>
</file>

<file path=xl/tables/table649.xml><?xml version="1.0" encoding="utf-8"?>
<table xmlns="http://schemas.openxmlformats.org/spreadsheetml/2006/main" id="649" name="Rehab_81" displayName="Rehab_81" ref="A144:D159" totalsRowShown="0" headerRowDxfId="1223" dataDxfId="1221" headerRowBorderDxfId="1222" tableBorderDxfId="1220" headerRowCellStyle="40% - Accent6">
  <autoFilter ref="A144:D159"/>
  <tableColumns count="4">
    <tableColumn id="1" name="Expense" dataDxfId="1219"/>
    <tableColumn id="2" name="Description" dataDxfId="1218"/>
    <tableColumn id="4" name="Label Name" dataDxfId="1217"/>
    <tableColumn id="5" name="Amount" dataDxfId="1216" dataCellStyle="40% - Accent6"/>
  </tableColumns>
  <tableStyleInfo name="TableStyleLight18" showFirstColumn="0" showLastColumn="0" showRowStripes="1" showColumnStripes="0"/>
</table>
</file>

<file path=xl/tables/table65.xml><?xml version="1.0" encoding="utf-8"?>
<table xmlns="http://schemas.openxmlformats.org/spreadsheetml/2006/main" id="130" name="Rehab_8" displayName="Rehab_8" ref="A144:D159" totalsRowShown="0" headerRowDxfId="5895" dataDxfId="5893" headerRowBorderDxfId="5894" tableBorderDxfId="5892" headerRowCellStyle="40% - Accent6">
  <autoFilter ref="A144:D159"/>
  <tableColumns count="4">
    <tableColumn id="1" name="Expense" dataDxfId="5891"/>
    <tableColumn id="2" name="Description" dataDxfId="5890"/>
    <tableColumn id="4" name="Label Name" dataDxfId="5889"/>
    <tableColumn id="5" name="Amount" dataDxfId="5888" dataCellStyle="40% - Accent6"/>
  </tableColumns>
  <tableStyleInfo name="TableStyleLight18" showFirstColumn="0" showLastColumn="0" showRowStripes="1" showColumnStripes="0"/>
</table>
</file>

<file path=xl/tables/table650.xml><?xml version="1.0" encoding="utf-8"?>
<table xmlns="http://schemas.openxmlformats.org/spreadsheetml/2006/main" id="650" name="Grass_82" displayName="Grass_82" ref="A11:D26" totalsRowShown="0" headerRowDxfId="1215" dataDxfId="1213" headerRowBorderDxfId="1214" tableBorderDxfId="1212" headerRowCellStyle="40% - Accent6">
  <autoFilter ref="A11:D26"/>
  <tableColumns count="4">
    <tableColumn id="1" name="Expense" dataDxfId="1211"/>
    <tableColumn id="2" name="Description" dataDxfId="1210"/>
    <tableColumn id="4" name="Label Name" dataDxfId="1209"/>
    <tableColumn id="5" name="Amount" dataDxfId="1208" dataCellStyle="20% - Accent6"/>
  </tableColumns>
  <tableStyleInfo name="TableStyleLight18" showFirstColumn="0" showLastColumn="0" showRowStripes="1" showColumnStripes="0"/>
</table>
</file>

<file path=xl/tables/table651.xml><?xml version="1.0" encoding="utf-8"?>
<table xmlns="http://schemas.openxmlformats.org/spreadsheetml/2006/main" id="651" name="Tree_82" displayName="Tree_82" ref="A30:D45" totalsRowShown="0" headerRowDxfId="1207" dataDxfId="1205" headerRowBorderDxfId="1206" tableBorderDxfId="1204" headerRowCellStyle="40% - Accent6">
  <autoFilter ref="A30:D45"/>
  <tableColumns count="4">
    <tableColumn id="1" name="Expense" dataDxfId="1203"/>
    <tableColumn id="2" name="Description" dataDxfId="1202"/>
    <tableColumn id="4" name="Label Name" dataDxfId="1201"/>
    <tableColumn id="5" name="Amount" dataDxfId="1200" dataCellStyle="40% - Accent6"/>
  </tableColumns>
  <tableStyleInfo name="TableStyleLight18" showFirstColumn="0" showLastColumn="0" showRowStripes="1" showColumnStripes="0"/>
</table>
</file>

<file path=xl/tables/table652.xml><?xml version="1.0" encoding="utf-8"?>
<table xmlns="http://schemas.openxmlformats.org/spreadsheetml/2006/main" id="652" name="Pest_82" displayName="Pest_82" ref="A49:D64" totalsRowShown="0" headerRowDxfId="1199" dataDxfId="1197" headerRowBorderDxfId="1198" tableBorderDxfId="1196" headerRowCellStyle="40% - Accent6">
  <autoFilter ref="A49:D64"/>
  <tableColumns count="4">
    <tableColumn id="1" name="Expense" dataDxfId="1195"/>
    <tableColumn id="2" name="Description" dataDxfId="1194"/>
    <tableColumn id="4" name="Label Name" dataDxfId="1193"/>
    <tableColumn id="5" name="Amount" dataDxfId="1192" dataCellStyle="40% - Accent6"/>
  </tableColumns>
  <tableStyleInfo name="TableStyleLight18" showFirstColumn="0" showLastColumn="0" showRowStripes="1" showColumnStripes="0"/>
</table>
</file>

<file path=xl/tables/table653.xml><?xml version="1.0" encoding="utf-8"?>
<table xmlns="http://schemas.openxmlformats.org/spreadsheetml/2006/main" id="653" name="Garbage_82" displayName="Garbage_82" ref="A68:D83" totalsRowShown="0" headerRowDxfId="1191" dataDxfId="1189" headerRowBorderDxfId="1190" tableBorderDxfId="1188" headerRowCellStyle="40% - Accent6">
  <autoFilter ref="A68:D83"/>
  <tableColumns count="4">
    <tableColumn id="1" name="Expense" dataDxfId="1187"/>
    <tableColumn id="2" name="Description" dataDxfId="1186"/>
    <tableColumn id="4" name="Label Name" dataDxfId="1185"/>
    <tableColumn id="5" name="Amount" dataDxfId="1184" dataCellStyle="20% - Accent6"/>
  </tableColumns>
  <tableStyleInfo name="TableStyleLight18" showFirstColumn="0" showLastColumn="0" showRowStripes="1" showColumnStripes="0"/>
</table>
</file>

<file path=xl/tables/table654.xml><?xml version="1.0" encoding="utf-8"?>
<table xmlns="http://schemas.openxmlformats.org/spreadsheetml/2006/main" id="654" name="Boarding_82" displayName="Boarding_82" ref="A87:D102" totalsRowShown="0" headerRowDxfId="1183" dataDxfId="1181" headerRowBorderDxfId="1182" tableBorderDxfId="1180" headerRowCellStyle="40% - Accent6">
  <autoFilter ref="A87:D102"/>
  <tableColumns count="4">
    <tableColumn id="1" name="Expense" dataDxfId="1179"/>
    <tableColumn id="2" name="Description" dataDxfId="1178"/>
    <tableColumn id="4" name="Label Name" dataDxfId="1177"/>
    <tableColumn id="5" name="Amount" dataDxfId="1176" dataCellStyle="40% - Accent6"/>
  </tableColumns>
  <tableStyleInfo name="TableStyleLight18" showFirstColumn="0" showLastColumn="0" showRowStripes="1" showColumnStripes="0"/>
</table>
</file>

<file path=xl/tables/table655.xml><?xml version="1.0" encoding="utf-8"?>
<table xmlns="http://schemas.openxmlformats.org/spreadsheetml/2006/main" id="655" name="Fence_82" displayName="Fence_82" ref="A106:D121" totalsRowShown="0" headerRowDxfId="1175" dataDxfId="1173" headerRowBorderDxfId="1174" tableBorderDxfId="1172" headerRowCellStyle="40% - Accent6">
  <autoFilter ref="A106:D121"/>
  <tableColumns count="4">
    <tableColumn id="1" name="Expense" dataDxfId="1171"/>
    <tableColumn id="2" name="Description" dataDxfId="1170"/>
    <tableColumn id="4" name="Label Name" dataDxfId="1169"/>
    <tableColumn id="5" name="Amount" dataDxfId="1168" dataCellStyle="40% - Accent6"/>
  </tableColumns>
  <tableStyleInfo name="TableStyleLight18" showFirstColumn="0" showLastColumn="0" showRowStripes="1" showColumnStripes="0"/>
</table>
</file>

<file path=xl/tables/table656.xml><?xml version="1.0" encoding="utf-8"?>
<table xmlns="http://schemas.openxmlformats.org/spreadsheetml/2006/main" id="656" name="Demolition_82" displayName="Demolition_82" ref="A125:D140" totalsRowShown="0" headerRowDxfId="1167" dataDxfId="1165" headerRowBorderDxfId="1166" tableBorderDxfId="1164" headerRowCellStyle="40% - Accent6">
  <autoFilter ref="A125:D140"/>
  <tableColumns count="4">
    <tableColumn id="1" name="Expense" dataDxfId="1163"/>
    <tableColumn id="2" name="Description" dataDxfId="1162"/>
    <tableColumn id="4" name="Label Name" dataDxfId="1161"/>
    <tableColumn id="5" name="Amount" dataDxfId="1160" dataCellStyle="40% - Accent6"/>
  </tableColumns>
  <tableStyleInfo name="TableStyleLight18" showFirstColumn="0" showLastColumn="0" showRowStripes="1" showColumnStripes="0"/>
</table>
</file>

<file path=xl/tables/table657.xml><?xml version="1.0" encoding="utf-8"?>
<table xmlns="http://schemas.openxmlformats.org/spreadsheetml/2006/main" id="657" name="Rehab_82" displayName="Rehab_82" ref="A144:D159" totalsRowShown="0" headerRowDxfId="1159" dataDxfId="1157" headerRowBorderDxfId="1158" tableBorderDxfId="1156" headerRowCellStyle="40% - Accent6">
  <autoFilter ref="A144:D159"/>
  <tableColumns count="4">
    <tableColumn id="1" name="Expense" dataDxfId="1155"/>
    <tableColumn id="2" name="Description" dataDxfId="1154"/>
    <tableColumn id="4" name="Label Name" dataDxfId="1153"/>
    <tableColumn id="5" name="Amount" dataDxfId="1152" dataCellStyle="40% - Accent6"/>
  </tableColumns>
  <tableStyleInfo name="TableStyleLight18" showFirstColumn="0" showLastColumn="0" showRowStripes="1" showColumnStripes="0"/>
</table>
</file>

<file path=xl/tables/table658.xml><?xml version="1.0" encoding="utf-8"?>
<table xmlns="http://schemas.openxmlformats.org/spreadsheetml/2006/main" id="658" name="Grass_83" displayName="Grass_83" ref="A11:D26" totalsRowShown="0" headerRowDxfId="1151" dataDxfId="1149" headerRowBorderDxfId="1150" tableBorderDxfId="1148" headerRowCellStyle="40% - Accent6">
  <autoFilter ref="A11:D26"/>
  <tableColumns count="4">
    <tableColumn id="1" name="Expense" dataDxfId="1147"/>
    <tableColumn id="2" name="Description" dataDxfId="1146"/>
    <tableColumn id="4" name="Label Name" dataDxfId="1145"/>
    <tableColumn id="5" name="Amount" dataDxfId="1144" dataCellStyle="20% - Accent6"/>
  </tableColumns>
  <tableStyleInfo name="TableStyleLight18" showFirstColumn="0" showLastColumn="0" showRowStripes="1" showColumnStripes="0"/>
</table>
</file>

<file path=xl/tables/table659.xml><?xml version="1.0" encoding="utf-8"?>
<table xmlns="http://schemas.openxmlformats.org/spreadsheetml/2006/main" id="659" name="Tree_83" displayName="Tree_83" ref="A30:D45" totalsRowShown="0" headerRowDxfId="1143" dataDxfId="1141" headerRowBorderDxfId="1142" tableBorderDxfId="1140" headerRowCellStyle="40% - Accent6">
  <autoFilter ref="A30:D45"/>
  <tableColumns count="4">
    <tableColumn id="1" name="Expense" dataDxfId="1139"/>
    <tableColumn id="2" name="Description" dataDxfId="1138"/>
    <tableColumn id="4" name="Label Name" dataDxfId="1137"/>
    <tableColumn id="5" name="Amount" dataDxfId="1136" dataCellStyle="40% - Accent6"/>
  </tableColumns>
  <tableStyleInfo name="TableStyleLight18" showFirstColumn="0" showLastColumn="0" showRowStripes="1" showColumnStripes="0"/>
</table>
</file>

<file path=xl/tables/table66.xml><?xml version="1.0" encoding="utf-8"?>
<table xmlns="http://schemas.openxmlformats.org/spreadsheetml/2006/main" id="131" name="Grass_9" displayName="Grass_9" ref="A11:D26" totalsRowShown="0" headerRowDxfId="5887" dataDxfId="5885" headerRowBorderDxfId="5886" tableBorderDxfId="5884" headerRowCellStyle="40% - Accent6">
  <autoFilter ref="A11:D26"/>
  <tableColumns count="4">
    <tableColumn id="1" name="Expense" dataDxfId="5883"/>
    <tableColumn id="2" name="Description" dataDxfId="5882"/>
    <tableColumn id="4" name="Label Name" dataDxfId="5881"/>
    <tableColumn id="5" name="Amount" dataDxfId="5880" dataCellStyle="20% - Accent6"/>
  </tableColumns>
  <tableStyleInfo name="TableStyleLight18" showFirstColumn="0" showLastColumn="0" showRowStripes="1" showColumnStripes="0"/>
</table>
</file>

<file path=xl/tables/table660.xml><?xml version="1.0" encoding="utf-8"?>
<table xmlns="http://schemas.openxmlformats.org/spreadsheetml/2006/main" id="660" name="Pest_83" displayName="Pest_83" ref="A49:D64" totalsRowShown="0" headerRowDxfId="1135" dataDxfId="1133" headerRowBorderDxfId="1134" tableBorderDxfId="1132" headerRowCellStyle="40% - Accent6">
  <autoFilter ref="A49:D64"/>
  <tableColumns count="4">
    <tableColumn id="1" name="Expense" dataDxfId="1131"/>
    <tableColumn id="2" name="Description" dataDxfId="1130"/>
    <tableColumn id="4" name="Label Name" dataDxfId="1129"/>
    <tableColumn id="5" name="Amount" dataDxfId="1128" dataCellStyle="40% - Accent6"/>
  </tableColumns>
  <tableStyleInfo name="TableStyleLight18" showFirstColumn="0" showLastColumn="0" showRowStripes="1" showColumnStripes="0"/>
</table>
</file>

<file path=xl/tables/table661.xml><?xml version="1.0" encoding="utf-8"?>
<table xmlns="http://schemas.openxmlformats.org/spreadsheetml/2006/main" id="661" name="Garbage_83" displayName="Garbage_83" ref="A68:D83" totalsRowShown="0" headerRowDxfId="1127" dataDxfId="1125" headerRowBorderDxfId="1126" tableBorderDxfId="1124" headerRowCellStyle="40% - Accent6">
  <autoFilter ref="A68:D83"/>
  <tableColumns count="4">
    <tableColumn id="1" name="Expense" dataDxfId="1123"/>
    <tableColumn id="2" name="Description" dataDxfId="1122"/>
    <tableColumn id="4" name="Label Name" dataDxfId="1121"/>
    <tableColumn id="5" name="Amount" dataDxfId="1120" dataCellStyle="20% - Accent6"/>
  </tableColumns>
  <tableStyleInfo name="TableStyleLight18" showFirstColumn="0" showLastColumn="0" showRowStripes="1" showColumnStripes="0"/>
</table>
</file>

<file path=xl/tables/table662.xml><?xml version="1.0" encoding="utf-8"?>
<table xmlns="http://schemas.openxmlformats.org/spreadsheetml/2006/main" id="662" name="Boarding_83" displayName="Boarding_83" ref="A87:D102" totalsRowShown="0" headerRowDxfId="1119" dataDxfId="1117" headerRowBorderDxfId="1118" tableBorderDxfId="1116" headerRowCellStyle="40% - Accent6">
  <autoFilter ref="A87:D102"/>
  <tableColumns count="4">
    <tableColumn id="1" name="Expense" dataDxfId="1115"/>
    <tableColumn id="2" name="Description" dataDxfId="1114"/>
    <tableColumn id="4" name="Label Name" dataDxfId="1113"/>
    <tableColumn id="5" name="Amount" dataDxfId="1112" dataCellStyle="40% - Accent6"/>
  </tableColumns>
  <tableStyleInfo name="TableStyleLight18" showFirstColumn="0" showLastColumn="0" showRowStripes="1" showColumnStripes="0"/>
</table>
</file>

<file path=xl/tables/table663.xml><?xml version="1.0" encoding="utf-8"?>
<table xmlns="http://schemas.openxmlformats.org/spreadsheetml/2006/main" id="663" name="Fence_83" displayName="Fence_83" ref="A106:D121" totalsRowShown="0" headerRowDxfId="1111" dataDxfId="1109" headerRowBorderDxfId="1110" tableBorderDxfId="1108" headerRowCellStyle="40% - Accent6">
  <autoFilter ref="A106:D121"/>
  <tableColumns count="4">
    <tableColumn id="1" name="Expense" dataDxfId="1107"/>
    <tableColumn id="2" name="Description" dataDxfId="1106"/>
    <tableColumn id="4" name="Label Name" dataDxfId="1105"/>
    <tableColumn id="5" name="Amount" dataDxfId="1104" dataCellStyle="40% - Accent6"/>
  </tableColumns>
  <tableStyleInfo name="TableStyleLight18" showFirstColumn="0" showLastColumn="0" showRowStripes="1" showColumnStripes="0"/>
</table>
</file>

<file path=xl/tables/table664.xml><?xml version="1.0" encoding="utf-8"?>
<table xmlns="http://schemas.openxmlformats.org/spreadsheetml/2006/main" id="664" name="Demolition_83" displayName="Demolition_83" ref="A125:D140" totalsRowShown="0" headerRowDxfId="1103" dataDxfId="1101" headerRowBorderDxfId="1102" tableBorderDxfId="1100" headerRowCellStyle="40% - Accent6">
  <autoFilter ref="A125:D140"/>
  <tableColumns count="4">
    <tableColumn id="1" name="Expense" dataDxfId="1099"/>
    <tableColumn id="2" name="Description" dataDxfId="1098"/>
    <tableColumn id="4" name="Label Name" dataDxfId="1097"/>
    <tableColumn id="5" name="Amount" dataDxfId="1096" dataCellStyle="40% - Accent6"/>
  </tableColumns>
  <tableStyleInfo name="TableStyleLight18" showFirstColumn="0" showLastColumn="0" showRowStripes="1" showColumnStripes="0"/>
</table>
</file>

<file path=xl/tables/table665.xml><?xml version="1.0" encoding="utf-8"?>
<table xmlns="http://schemas.openxmlformats.org/spreadsheetml/2006/main" id="665" name="Rehab_83" displayName="Rehab_83" ref="A144:D159" totalsRowShown="0" headerRowDxfId="1095" dataDxfId="1093" headerRowBorderDxfId="1094" tableBorderDxfId="1092" headerRowCellStyle="40% - Accent6">
  <autoFilter ref="A144:D159"/>
  <tableColumns count="4">
    <tableColumn id="1" name="Expense" dataDxfId="1091"/>
    <tableColumn id="2" name="Description" dataDxfId="1090"/>
    <tableColumn id="4" name="Label Name" dataDxfId="1089"/>
    <tableColumn id="5" name="Amount" dataDxfId="1088" dataCellStyle="40% - Accent6"/>
  </tableColumns>
  <tableStyleInfo name="TableStyleLight18" showFirstColumn="0" showLastColumn="0" showRowStripes="1" showColumnStripes="0"/>
</table>
</file>

<file path=xl/tables/table666.xml><?xml version="1.0" encoding="utf-8"?>
<table xmlns="http://schemas.openxmlformats.org/spreadsheetml/2006/main" id="666" name="Grass_84" displayName="Grass_84" ref="A11:D26" totalsRowShown="0" headerRowDxfId="1087" dataDxfId="1085" headerRowBorderDxfId="1086" tableBorderDxfId="1084" headerRowCellStyle="40% - Accent6">
  <autoFilter ref="A11:D26"/>
  <tableColumns count="4">
    <tableColumn id="1" name="Expense" dataDxfId="1083"/>
    <tableColumn id="2" name="Description" dataDxfId="1082"/>
    <tableColumn id="4" name="Label Name" dataDxfId="1081"/>
    <tableColumn id="5" name="Amount" dataDxfId="1080" dataCellStyle="20% - Accent6"/>
  </tableColumns>
  <tableStyleInfo name="TableStyleLight18" showFirstColumn="0" showLastColumn="0" showRowStripes="1" showColumnStripes="0"/>
</table>
</file>

<file path=xl/tables/table667.xml><?xml version="1.0" encoding="utf-8"?>
<table xmlns="http://schemas.openxmlformats.org/spreadsheetml/2006/main" id="667" name="Tree_84" displayName="Tree_84" ref="A30:D45" totalsRowShown="0" headerRowDxfId="1079" dataDxfId="1077" headerRowBorderDxfId="1078" tableBorderDxfId="1076" headerRowCellStyle="40% - Accent6">
  <autoFilter ref="A30:D45"/>
  <tableColumns count="4">
    <tableColumn id="1" name="Expense" dataDxfId="1075"/>
    <tableColumn id="2" name="Description" dataDxfId="1074"/>
    <tableColumn id="4" name="Label Name" dataDxfId="1073"/>
    <tableColumn id="5" name="Amount" dataDxfId="1072" dataCellStyle="40% - Accent6"/>
  </tableColumns>
  <tableStyleInfo name="TableStyleLight18" showFirstColumn="0" showLastColumn="0" showRowStripes="1" showColumnStripes="0"/>
</table>
</file>

<file path=xl/tables/table668.xml><?xml version="1.0" encoding="utf-8"?>
<table xmlns="http://schemas.openxmlformats.org/spreadsheetml/2006/main" id="668" name="Pest_84" displayName="Pest_84" ref="A49:D64" totalsRowShown="0" headerRowDxfId="1071" dataDxfId="1069" headerRowBorderDxfId="1070" tableBorderDxfId="1068" headerRowCellStyle="40% - Accent6">
  <autoFilter ref="A49:D64"/>
  <tableColumns count="4">
    <tableColumn id="1" name="Expense" dataDxfId="1067"/>
    <tableColumn id="2" name="Description" dataDxfId="1066"/>
    <tableColumn id="4" name="Label Name" dataDxfId="1065"/>
    <tableColumn id="5" name="Amount" dataDxfId="1064" dataCellStyle="40% - Accent6"/>
  </tableColumns>
  <tableStyleInfo name="TableStyleLight18" showFirstColumn="0" showLastColumn="0" showRowStripes="1" showColumnStripes="0"/>
</table>
</file>

<file path=xl/tables/table669.xml><?xml version="1.0" encoding="utf-8"?>
<table xmlns="http://schemas.openxmlformats.org/spreadsheetml/2006/main" id="669" name="Garbage_84" displayName="Garbage_84" ref="A68:D83" totalsRowShown="0" headerRowDxfId="1063" dataDxfId="1061" headerRowBorderDxfId="1062" tableBorderDxfId="1060" headerRowCellStyle="40% - Accent6">
  <autoFilter ref="A68:D83"/>
  <tableColumns count="4">
    <tableColumn id="1" name="Expense" dataDxfId="1059"/>
    <tableColumn id="2" name="Description" dataDxfId="1058"/>
    <tableColumn id="4" name="Label Name" dataDxfId="1057"/>
    <tableColumn id="5" name="Amount" dataDxfId="1056" dataCellStyle="20% - Accent6"/>
  </tableColumns>
  <tableStyleInfo name="TableStyleLight18" showFirstColumn="0" showLastColumn="0" showRowStripes="1" showColumnStripes="0"/>
</table>
</file>

<file path=xl/tables/table67.xml><?xml version="1.0" encoding="utf-8"?>
<table xmlns="http://schemas.openxmlformats.org/spreadsheetml/2006/main" id="132" name="Tree_9" displayName="Tree_9" ref="A30:D45" totalsRowShown="0" headerRowDxfId="5879" dataDxfId="5877" headerRowBorderDxfId="5878" tableBorderDxfId="5876" headerRowCellStyle="40% - Accent6">
  <autoFilter ref="A30:D45"/>
  <tableColumns count="4">
    <tableColumn id="1" name="Expense" dataDxfId="5875"/>
    <tableColumn id="2" name="Description" dataDxfId="5874"/>
    <tableColumn id="4" name="Label Name" dataDxfId="5873"/>
    <tableColumn id="5" name="Amount" dataDxfId="5872" dataCellStyle="40% - Accent6"/>
  </tableColumns>
  <tableStyleInfo name="TableStyleLight18" showFirstColumn="0" showLastColumn="0" showRowStripes="1" showColumnStripes="0"/>
</table>
</file>

<file path=xl/tables/table670.xml><?xml version="1.0" encoding="utf-8"?>
<table xmlns="http://schemas.openxmlformats.org/spreadsheetml/2006/main" id="670" name="Boarding_84" displayName="Boarding_84" ref="A87:D102" totalsRowShown="0" headerRowDxfId="1055" dataDxfId="1053" headerRowBorderDxfId="1054" tableBorderDxfId="1052" headerRowCellStyle="40% - Accent6">
  <autoFilter ref="A87:D102"/>
  <tableColumns count="4">
    <tableColumn id="1" name="Expense" dataDxfId="1051"/>
    <tableColumn id="2" name="Description" dataDxfId="1050"/>
    <tableColumn id="4" name="Label Name" dataDxfId="1049"/>
    <tableColumn id="5" name="Amount" dataDxfId="1048" dataCellStyle="40% - Accent6"/>
  </tableColumns>
  <tableStyleInfo name="TableStyleLight18" showFirstColumn="0" showLastColumn="0" showRowStripes="1" showColumnStripes="0"/>
</table>
</file>

<file path=xl/tables/table671.xml><?xml version="1.0" encoding="utf-8"?>
<table xmlns="http://schemas.openxmlformats.org/spreadsheetml/2006/main" id="671" name="Fence_84" displayName="Fence_84" ref="A106:D121" totalsRowShown="0" headerRowDxfId="1047" dataDxfId="1045" headerRowBorderDxfId="1046" tableBorderDxfId="1044" headerRowCellStyle="40% - Accent6">
  <autoFilter ref="A106:D121"/>
  <tableColumns count="4">
    <tableColumn id="1" name="Expense" dataDxfId="1043"/>
    <tableColumn id="2" name="Description" dataDxfId="1042"/>
    <tableColumn id="4" name="Label Name" dataDxfId="1041"/>
    <tableColumn id="5" name="Amount" dataDxfId="1040" dataCellStyle="40% - Accent6"/>
  </tableColumns>
  <tableStyleInfo name="TableStyleLight18" showFirstColumn="0" showLastColumn="0" showRowStripes="1" showColumnStripes="0"/>
</table>
</file>

<file path=xl/tables/table672.xml><?xml version="1.0" encoding="utf-8"?>
<table xmlns="http://schemas.openxmlformats.org/spreadsheetml/2006/main" id="672" name="Demolition_84" displayName="Demolition_84" ref="A125:D140" totalsRowShown="0" headerRowDxfId="1039" dataDxfId="1037" headerRowBorderDxfId="1038" tableBorderDxfId="1036" headerRowCellStyle="40% - Accent6">
  <autoFilter ref="A125:D140"/>
  <tableColumns count="4">
    <tableColumn id="1" name="Expense" dataDxfId="1035"/>
    <tableColumn id="2" name="Description" dataDxfId="1034"/>
    <tableColumn id="4" name="Label Name" dataDxfId="1033"/>
    <tableColumn id="5" name="Amount" dataDxfId="1032" dataCellStyle="40% - Accent6"/>
  </tableColumns>
  <tableStyleInfo name="TableStyleLight18" showFirstColumn="0" showLastColumn="0" showRowStripes="1" showColumnStripes="0"/>
</table>
</file>

<file path=xl/tables/table673.xml><?xml version="1.0" encoding="utf-8"?>
<table xmlns="http://schemas.openxmlformats.org/spreadsheetml/2006/main" id="673" name="Rehab_84" displayName="Rehab_84" ref="A144:D159" totalsRowShown="0" headerRowDxfId="1031" dataDxfId="1029" headerRowBorderDxfId="1030" tableBorderDxfId="1028" headerRowCellStyle="40% - Accent6">
  <autoFilter ref="A144:D159"/>
  <tableColumns count="4">
    <tableColumn id="1" name="Expense" dataDxfId="1027"/>
    <tableColumn id="2" name="Description" dataDxfId="1026"/>
    <tableColumn id="4" name="Label Name" dataDxfId="1025"/>
    <tableColumn id="5" name="Amount" dataDxfId="1024" dataCellStyle="40% - Accent6"/>
  </tableColumns>
  <tableStyleInfo name="TableStyleLight18" showFirstColumn="0" showLastColumn="0" showRowStripes="1" showColumnStripes="0"/>
</table>
</file>

<file path=xl/tables/table674.xml><?xml version="1.0" encoding="utf-8"?>
<table xmlns="http://schemas.openxmlformats.org/spreadsheetml/2006/main" id="674" name="Grass_85" displayName="Grass_85" ref="A11:D26" totalsRowShown="0" headerRowDxfId="1023" dataDxfId="1021" headerRowBorderDxfId="1022" tableBorderDxfId="1020" headerRowCellStyle="40% - Accent6">
  <autoFilter ref="A11:D26"/>
  <tableColumns count="4">
    <tableColumn id="1" name="Expense" dataDxfId="1019"/>
    <tableColumn id="2" name="Description" dataDxfId="1018"/>
    <tableColumn id="4" name="Label Name" dataDxfId="1017"/>
    <tableColumn id="5" name="Amount" dataDxfId="1016" dataCellStyle="20% - Accent6"/>
  </tableColumns>
  <tableStyleInfo name="TableStyleLight18" showFirstColumn="0" showLastColumn="0" showRowStripes="1" showColumnStripes="0"/>
</table>
</file>

<file path=xl/tables/table675.xml><?xml version="1.0" encoding="utf-8"?>
<table xmlns="http://schemas.openxmlformats.org/spreadsheetml/2006/main" id="675" name="Tree_85" displayName="Tree_85" ref="A30:D45" totalsRowShown="0" headerRowDxfId="1015" dataDxfId="1013" headerRowBorderDxfId="1014" tableBorderDxfId="1012" headerRowCellStyle="40% - Accent6">
  <autoFilter ref="A30:D45"/>
  <tableColumns count="4">
    <tableColumn id="1" name="Expense" dataDxfId="1011"/>
    <tableColumn id="2" name="Description" dataDxfId="1010"/>
    <tableColumn id="4" name="Label Name" dataDxfId="1009"/>
    <tableColumn id="5" name="Amount" dataDxfId="1008" dataCellStyle="40% - Accent6"/>
  </tableColumns>
  <tableStyleInfo name="TableStyleLight18" showFirstColumn="0" showLastColumn="0" showRowStripes="1" showColumnStripes="0"/>
</table>
</file>

<file path=xl/tables/table676.xml><?xml version="1.0" encoding="utf-8"?>
<table xmlns="http://schemas.openxmlformats.org/spreadsheetml/2006/main" id="676" name="Pest_85" displayName="Pest_85" ref="A49:D64" totalsRowShown="0" headerRowDxfId="1007" dataDxfId="1005" headerRowBorderDxfId="1006" tableBorderDxfId="1004" headerRowCellStyle="40% - Accent6">
  <autoFilter ref="A49:D64"/>
  <tableColumns count="4">
    <tableColumn id="1" name="Expense" dataDxfId="1003"/>
    <tableColumn id="2" name="Description" dataDxfId="1002"/>
    <tableColumn id="4" name="Label Name" dataDxfId="1001"/>
    <tableColumn id="5" name="Amount" dataDxfId="1000" dataCellStyle="40% - Accent6"/>
  </tableColumns>
  <tableStyleInfo name="TableStyleLight18" showFirstColumn="0" showLastColumn="0" showRowStripes="1" showColumnStripes="0"/>
</table>
</file>

<file path=xl/tables/table677.xml><?xml version="1.0" encoding="utf-8"?>
<table xmlns="http://schemas.openxmlformats.org/spreadsheetml/2006/main" id="677" name="Garbage_85" displayName="Garbage_85" ref="A68:D83" totalsRowShown="0" headerRowDxfId="999" dataDxfId="997" headerRowBorderDxfId="998" tableBorderDxfId="996" headerRowCellStyle="40% - Accent6">
  <autoFilter ref="A68:D83"/>
  <tableColumns count="4">
    <tableColumn id="1" name="Expense" dataDxfId="995"/>
    <tableColumn id="2" name="Description" dataDxfId="994"/>
    <tableColumn id="4" name="Label Name" dataDxfId="993"/>
    <tableColumn id="5" name="Amount" dataDxfId="992" dataCellStyle="20% - Accent6"/>
  </tableColumns>
  <tableStyleInfo name="TableStyleLight18" showFirstColumn="0" showLastColumn="0" showRowStripes="1" showColumnStripes="0"/>
</table>
</file>

<file path=xl/tables/table678.xml><?xml version="1.0" encoding="utf-8"?>
<table xmlns="http://schemas.openxmlformats.org/spreadsheetml/2006/main" id="678" name="Boarding_85" displayName="Boarding_85" ref="A87:D102" totalsRowShown="0" headerRowDxfId="991" dataDxfId="989" headerRowBorderDxfId="990" tableBorderDxfId="988" headerRowCellStyle="40% - Accent6">
  <autoFilter ref="A87:D102"/>
  <tableColumns count="4">
    <tableColumn id="1" name="Expense" dataDxfId="987"/>
    <tableColumn id="2" name="Description" dataDxfId="986"/>
    <tableColumn id="4" name="Label Name" dataDxfId="985"/>
    <tableColumn id="5" name="Amount" dataDxfId="984" dataCellStyle="40% - Accent6"/>
  </tableColumns>
  <tableStyleInfo name="TableStyleLight18" showFirstColumn="0" showLastColumn="0" showRowStripes="1" showColumnStripes="0"/>
</table>
</file>

<file path=xl/tables/table679.xml><?xml version="1.0" encoding="utf-8"?>
<table xmlns="http://schemas.openxmlformats.org/spreadsheetml/2006/main" id="679" name="Fence_85" displayName="Fence_85" ref="A106:D121" totalsRowShown="0" headerRowDxfId="983" dataDxfId="981" headerRowBorderDxfId="982" tableBorderDxfId="980" headerRowCellStyle="40% - Accent6">
  <autoFilter ref="A106:D121"/>
  <tableColumns count="4">
    <tableColumn id="1" name="Expense" dataDxfId="979"/>
    <tableColumn id="2" name="Description" dataDxfId="978"/>
    <tableColumn id="4" name="Label Name" dataDxfId="977"/>
    <tableColumn id="5" name="Amount" dataDxfId="976" dataCellStyle="40% - Accent6"/>
  </tableColumns>
  <tableStyleInfo name="TableStyleLight18" showFirstColumn="0" showLastColumn="0" showRowStripes="1" showColumnStripes="0"/>
</table>
</file>

<file path=xl/tables/table68.xml><?xml version="1.0" encoding="utf-8"?>
<table xmlns="http://schemas.openxmlformats.org/spreadsheetml/2006/main" id="133" name="Pest_9" displayName="Pest_9" ref="A49:D64" totalsRowShown="0" headerRowDxfId="5871" dataDxfId="5869" headerRowBorderDxfId="5870" tableBorderDxfId="5868" headerRowCellStyle="40% - Accent6">
  <autoFilter ref="A49:D64"/>
  <tableColumns count="4">
    <tableColumn id="1" name="Expense" dataDxfId="5867"/>
    <tableColumn id="2" name="Description" dataDxfId="5866"/>
    <tableColumn id="4" name="Label Name" dataDxfId="5865"/>
    <tableColumn id="5" name="Amount" dataDxfId="5864" dataCellStyle="40% - Accent6"/>
  </tableColumns>
  <tableStyleInfo name="TableStyleLight18" showFirstColumn="0" showLastColumn="0" showRowStripes="1" showColumnStripes="0"/>
</table>
</file>

<file path=xl/tables/table680.xml><?xml version="1.0" encoding="utf-8"?>
<table xmlns="http://schemas.openxmlformats.org/spreadsheetml/2006/main" id="680" name="Demolition_85" displayName="Demolition_85" ref="A125:D140" totalsRowShown="0" headerRowDxfId="975" dataDxfId="973" headerRowBorderDxfId="974" tableBorderDxfId="972" headerRowCellStyle="40% - Accent6">
  <autoFilter ref="A125:D140"/>
  <tableColumns count="4">
    <tableColumn id="1" name="Expense" dataDxfId="971"/>
    <tableColumn id="2" name="Description" dataDxfId="970"/>
    <tableColumn id="4" name="Label Name" dataDxfId="969"/>
    <tableColumn id="5" name="Amount" dataDxfId="968" dataCellStyle="40% - Accent6"/>
  </tableColumns>
  <tableStyleInfo name="TableStyleLight18" showFirstColumn="0" showLastColumn="0" showRowStripes="1" showColumnStripes="0"/>
</table>
</file>

<file path=xl/tables/table681.xml><?xml version="1.0" encoding="utf-8"?>
<table xmlns="http://schemas.openxmlformats.org/spreadsheetml/2006/main" id="681" name="Rehab_85" displayName="Rehab_85" ref="A144:D159" totalsRowShown="0" headerRowDxfId="967" dataDxfId="965" headerRowBorderDxfId="966" tableBorderDxfId="964" headerRowCellStyle="40% - Accent6">
  <autoFilter ref="A144:D159"/>
  <tableColumns count="4">
    <tableColumn id="1" name="Expense" dataDxfId="963"/>
    <tableColumn id="2" name="Description" dataDxfId="962"/>
    <tableColumn id="4" name="Label Name" dataDxfId="961"/>
    <tableColumn id="5" name="Amount" dataDxfId="960" dataCellStyle="40% - Accent6"/>
  </tableColumns>
  <tableStyleInfo name="TableStyleLight18" showFirstColumn="0" showLastColumn="0" showRowStripes="1" showColumnStripes="0"/>
</table>
</file>

<file path=xl/tables/table682.xml><?xml version="1.0" encoding="utf-8"?>
<table xmlns="http://schemas.openxmlformats.org/spreadsheetml/2006/main" id="682" name="Grass_86" displayName="Grass_86" ref="A11:D26" totalsRowShown="0" headerRowDxfId="959" dataDxfId="957" headerRowBorderDxfId="958" tableBorderDxfId="956" headerRowCellStyle="40% - Accent6">
  <autoFilter ref="A11:D26"/>
  <tableColumns count="4">
    <tableColumn id="1" name="Expense" dataDxfId="955"/>
    <tableColumn id="2" name="Description" dataDxfId="954"/>
    <tableColumn id="4" name="Label Name" dataDxfId="953"/>
    <tableColumn id="5" name="Amount" dataDxfId="952" dataCellStyle="20% - Accent6"/>
  </tableColumns>
  <tableStyleInfo name="TableStyleLight18" showFirstColumn="0" showLastColumn="0" showRowStripes="1" showColumnStripes="0"/>
</table>
</file>

<file path=xl/tables/table683.xml><?xml version="1.0" encoding="utf-8"?>
<table xmlns="http://schemas.openxmlformats.org/spreadsheetml/2006/main" id="683" name="Tree_86" displayName="Tree_86" ref="A30:D45" totalsRowShown="0" headerRowDxfId="951" dataDxfId="949" headerRowBorderDxfId="950" tableBorderDxfId="948" headerRowCellStyle="40% - Accent6">
  <autoFilter ref="A30:D45"/>
  <tableColumns count="4">
    <tableColumn id="1" name="Expense" dataDxfId="947"/>
    <tableColumn id="2" name="Description" dataDxfId="946"/>
    <tableColumn id="4" name="Label Name" dataDxfId="945"/>
    <tableColumn id="5" name="Amount" dataDxfId="944" dataCellStyle="40% - Accent6"/>
  </tableColumns>
  <tableStyleInfo name="TableStyleLight18" showFirstColumn="0" showLastColumn="0" showRowStripes="1" showColumnStripes="0"/>
</table>
</file>

<file path=xl/tables/table684.xml><?xml version="1.0" encoding="utf-8"?>
<table xmlns="http://schemas.openxmlformats.org/spreadsheetml/2006/main" id="684" name="Pest_86" displayName="Pest_86" ref="A49:D64" totalsRowShown="0" headerRowDxfId="943" dataDxfId="941" headerRowBorderDxfId="942" tableBorderDxfId="940" headerRowCellStyle="40% - Accent6">
  <autoFilter ref="A49:D64"/>
  <tableColumns count="4">
    <tableColumn id="1" name="Expense" dataDxfId="939"/>
    <tableColumn id="2" name="Description" dataDxfId="938"/>
    <tableColumn id="4" name="Label Name" dataDxfId="937"/>
    <tableColumn id="5" name="Amount" dataDxfId="936" dataCellStyle="40% - Accent6"/>
  </tableColumns>
  <tableStyleInfo name="TableStyleLight18" showFirstColumn="0" showLastColumn="0" showRowStripes="1" showColumnStripes="0"/>
</table>
</file>

<file path=xl/tables/table685.xml><?xml version="1.0" encoding="utf-8"?>
<table xmlns="http://schemas.openxmlformats.org/spreadsheetml/2006/main" id="685" name="Garbage_86" displayName="Garbage_86" ref="A68:D83" totalsRowShown="0" headerRowDxfId="935" dataDxfId="933" headerRowBorderDxfId="934" tableBorderDxfId="932" headerRowCellStyle="40% - Accent6">
  <autoFilter ref="A68:D83"/>
  <tableColumns count="4">
    <tableColumn id="1" name="Expense" dataDxfId="931"/>
    <tableColumn id="2" name="Description" dataDxfId="930"/>
    <tableColumn id="4" name="Label Name" dataDxfId="929"/>
    <tableColumn id="5" name="Amount" dataDxfId="928" dataCellStyle="20% - Accent6"/>
  </tableColumns>
  <tableStyleInfo name="TableStyleLight18" showFirstColumn="0" showLastColumn="0" showRowStripes="1" showColumnStripes="0"/>
</table>
</file>

<file path=xl/tables/table686.xml><?xml version="1.0" encoding="utf-8"?>
<table xmlns="http://schemas.openxmlformats.org/spreadsheetml/2006/main" id="686" name="Boarding_86" displayName="Boarding_86" ref="A87:D102" totalsRowShown="0" headerRowDxfId="927" dataDxfId="925" headerRowBorderDxfId="926" tableBorderDxfId="924" headerRowCellStyle="40% - Accent6">
  <autoFilter ref="A87:D102"/>
  <tableColumns count="4">
    <tableColumn id="1" name="Expense" dataDxfId="923"/>
    <tableColumn id="2" name="Description" dataDxfId="922"/>
    <tableColumn id="4" name="Label Name" dataDxfId="921"/>
    <tableColumn id="5" name="Amount" dataDxfId="920" dataCellStyle="40% - Accent6"/>
  </tableColumns>
  <tableStyleInfo name="TableStyleLight18" showFirstColumn="0" showLastColumn="0" showRowStripes="1" showColumnStripes="0"/>
</table>
</file>

<file path=xl/tables/table687.xml><?xml version="1.0" encoding="utf-8"?>
<table xmlns="http://schemas.openxmlformats.org/spreadsheetml/2006/main" id="687" name="Fence_86" displayName="Fence_86" ref="A106:D121" totalsRowShown="0" headerRowDxfId="919" dataDxfId="917" headerRowBorderDxfId="918" tableBorderDxfId="916" headerRowCellStyle="40% - Accent6">
  <autoFilter ref="A106:D121"/>
  <tableColumns count="4">
    <tableColumn id="1" name="Expense" dataDxfId="915"/>
    <tableColumn id="2" name="Description" dataDxfId="914"/>
    <tableColumn id="4" name="Label Name" dataDxfId="913"/>
    <tableColumn id="5" name="Amount" dataDxfId="912" dataCellStyle="40% - Accent6"/>
  </tableColumns>
  <tableStyleInfo name="TableStyleLight18" showFirstColumn="0" showLastColumn="0" showRowStripes="1" showColumnStripes="0"/>
</table>
</file>

<file path=xl/tables/table688.xml><?xml version="1.0" encoding="utf-8"?>
<table xmlns="http://schemas.openxmlformats.org/spreadsheetml/2006/main" id="688" name="Demolition_86" displayName="Demolition_86" ref="A125:D140" totalsRowShown="0" headerRowDxfId="911" dataDxfId="909" headerRowBorderDxfId="910" tableBorderDxfId="908" headerRowCellStyle="40% - Accent6">
  <autoFilter ref="A125:D140"/>
  <tableColumns count="4">
    <tableColumn id="1" name="Expense" dataDxfId="907"/>
    <tableColumn id="2" name="Description" dataDxfId="906"/>
    <tableColumn id="4" name="Label Name" dataDxfId="905"/>
    <tableColumn id="5" name="Amount" dataDxfId="904" dataCellStyle="40% - Accent6"/>
  </tableColumns>
  <tableStyleInfo name="TableStyleLight18" showFirstColumn="0" showLastColumn="0" showRowStripes="1" showColumnStripes="0"/>
</table>
</file>

<file path=xl/tables/table689.xml><?xml version="1.0" encoding="utf-8"?>
<table xmlns="http://schemas.openxmlformats.org/spreadsheetml/2006/main" id="689" name="Rehab_86" displayName="Rehab_86" ref="A144:D159" totalsRowShown="0" headerRowDxfId="903" dataDxfId="901" headerRowBorderDxfId="902" tableBorderDxfId="900" headerRowCellStyle="40% - Accent6">
  <autoFilter ref="A144:D159"/>
  <tableColumns count="4">
    <tableColumn id="1" name="Expense" dataDxfId="899"/>
    <tableColumn id="2" name="Description" dataDxfId="898"/>
    <tableColumn id="4" name="Label Name" dataDxfId="897"/>
    <tableColumn id="5" name="Amount" dataDxfId="896" dataCellStyle="40% - Accent6"/>
  </tableColumns>
  <tableStyleInfo name="TableStyleLight18" showFirstColumn="0" showLastColumn="0" showRowStripes="1" showColumnStripes="0"/>
</table>
</file>

<file path=xl/tables/table69.xml><?xml version="1.0" encoding="utf-8"?>
<table xmlns="http://schemas.openxmlformats.org/spreadsheetml/2006/main" id="134" name="Garbage_9" displayName="Garbage_9" ref="A68:D83" totalsRowShown="0" headerRowDxfId="5863" dataDxfId="5861" headerRowBorderDxfId="5862" tableBorderDxfId="5860" headerRowCellStyle="40% - Accent6">
  <autoFilter ref="A68:D83"/>
  <tableColumns count="4">
    <tableColumn id="1" name="Expense" dataDxfId="5859"/>
    <tableColumn id="2" name="Description" dataDxfId="5858"/>
    <tableColumn id="4" name="Label Name" dataDxfId="5857"/>
    <tableColumn id="5" name="Amount" dataDxfId="5856" dataCellStyle="20% - Accent6"/>
  </tableColumns>
  <tableStyleInfo name="TableStyleLight18" showFirstColumn="0" showLastColumn="0" showRowStripes="1" showColumnStripes="0"/>
</table>
</file>

<file path=xl/tables/table690.xml><?xml version="1.0" encoding="utf-8"?>
<table xmlns="http://schemas.openxmlformats.org/spreadsheetml/2006/main" id="690" name="Grass_87" displayName="Grass_87" ref="A11:D26" totalsRowShown="0" headerRowDxfId="895" dataDxfId="893" headerRowBorderDxfId="894" tableBorderDxfId="892" headerRowCellStyle="40% - Accent6">
  <autoFilter ref="A11:D26"/>
  <tableColumns count="4">
    <tableColumn id="1" name="Expense" dataDxfId="891"/>
    <tableColumn id="2" name="Description" dataDxfId="890"/>
    <tableColumn id="4" name="Label Name" dataDxfId="889"/>
    <tableColumn id="5" name="Amount" dataDxfId="888" dataCellStyle="20% - Accent6"/>
  </tableColumns>
  <tableStyleInfo name="TableStyleLight18" showFirstColumn="0" showLastColumn="0" showRowStripes="1" showColumnStripes="0"/>
</table>
</file>

<file path=xl/tables/table691.xml><?xml version="1.0" encoding="utf-8"?>
<table xmlns="http://schemas.openxmlformats.org/spreadsheetml/2006/main" id="691" name="Tree_87" displayName="Tree_87" ref="A30:D45" totalsRowShown="0" headerRowDxfId="887" dataDxfId="885" headerRowBorderDxfId="886" tableBorderDxfId="884" headerRowCellStyle="40% - Accent6">
  <autoFilter ref="A30:D45"/>
  <tableColumns count="4">
    <tableColumn id="1" name="Expense" dataDxfId="883"/>
    <tableColumn id="2" name="Description" dataDxfId="882"/>
    <tableColumn id="4" name="Label Name" dataDxfId="881"/>
    <tableColumn id="5" name="Amount" dataDxfId="880" dataCellStyle="40% - Accent6"/>
  </tableColumns>
  <tableStyleInfo name="TableStyleLight18" showFirstColumn="0" showLastColumn="0" showRowStripes="1" showColumnStripes="0"/>
</table>
</file>

<file path=xl/tables/table692.xml><?xml version="1.0" encoding="utf-8"?>
<table xmlns="http://schemas.openxmlformats.org/spreadsheetml/2006/main" id="692" name="Pest_87" displayName="Pest_87" ref="A49:D64" totalsRowShown="0" headerRowDxfId="879" dataDxfId="877" headerRowBorderDxfId="878" tableBorderDxfId="876" headerRowCellStyle="40% - Accent6">
  <autoFilter ref="A49:D64"/>
  <tableColumns count="4">
    <tableColumn id="1" name="Expense" dataDxfId="875"/>
    <tableColumn id="2" name="Description" dataDxfId="874"/>
    <tableColumn id="4" name="Label Name" dataDxfId="873"/>
    <tableColumn id="5" name="Amount" dataDxfId="872" dataCellStyle="40% - Accent6"/>
  </tableColumns>
  <tableStyleInfo name="TableStyleLight18" showFirstColumn="0" showLastColumn="0" showRowStripes="1" showColumnStripes="0"/>
</table>
</file>

<file path=xl/tables/table693.xml><?xml version="1.0" encoding="utf-8"?>
<table xmlns="http://schemas.openxmlformats.org/spreadsheetml/2006/main" id="693" name="Garbage_87" displayName="Garbage_87" ref="A68:D83" totalsRowShown="0" headerRowDxfId="871" dataDxfId="869" headerRowBorderDxfId="870" tableBorderDxfId="868" headerRowCellStyle="40% - Accent6">
  <autoFilter ref="A68:D83"/>
  <tableColumns count="4">
    <tableColumn id="1" name="Expense" dataDxfId="867"/>
    <tableColumn id="2" name="Description" dataDxfId="866"/>
    <tableColumn id="4" name="Label Name" dataDxfId="865"/>
    <tableColumn id="5" name="Amount" dataDxfId="864" dataCellStyle="20% - Accent6"/>
  </tableColumns>
  <tableStyleInfo name="TableStyleLight18" showFirstColumn="0" showLastColumn="0" showRowStripes="1" showColumnStripes="0"/>
</table>
</file>

<file path=xl/tables/table694.xml><?xml version="1.0" encoding="utf-8"?>
<table xmlns="http://schemas.openxmlformats.org/spreadsheetml/2006/main" id="694" name="Boarding_87" displayName="Boarding_87" ref="A87:D102" totalsRowShown="0" headerRowDxfId="863" dataDxfId="861" headerRowBorderDxfId="862" tableBorderDxfId="860" headerRowCellStyle="40% - Accent6">
  <autoFilter ref="A87:D102"/>
  <tableColumns count="4">
    <tableColumn id="1" name="Expense" dataDxfId="859"/>
    <tableColumn id="2" name="Description" dataDxfId="858"/>
    <tableColumn id="4" name="Label Name" dataDxfId="857"/>
    <tableColumn id="5" name="Amount" dataDxfId="856" dataCellStyle="40% - Accent6"/>
  </tableColumns>
  <tableStyleInfo name="TableStyleLight18" showFirstColumn="0" showLastColumn="0" showRowStripes="1" showColumnStripes="0"/>
</table>
</file>

<file path=xl/tables/table695.xml><?xml version="1.0" encoding="utf-8"?>
<table xmlns="http://schemas.openxmlformats.org/spreadsheetml/2006/main" id="695" name="Fence_87" displayName="Fence_87" ref="A106:D121" totalsRowShown="0" headerRowDxfId="855" dataDxfId="853" headerRowBorderDxfId="854" tableBorderDxfId="852" headerRowCellStyle="40% - Accent6">
  <autoFilter ref="A106:D121"/>
  <tableColumns count="4">
    <tableColumn id="1" name="Expense" dataDxfId="851"/>
    <tableColumn id="2" name="Description" dataDxfId="850"/>
    <tableColumn id="4" name="Label Name" dataDxfId="849"/>
    <tableColumn id="5" name="Amount" dataDxfId="848" dataCellStyle="40% - Accent6"/>
  </tableColumns>
  <tableStyleInfo name="TableStyleLight18" showFirstColumn="0" showLastColumn="0" showRowStripes="1" showColumnStripes="0"/>
</table>
</file>

<file path=xl/tables/table696.xml><?xml version="1.0" encoding="utf-8"?>
<table xmlns="http://schemas.openxmlformats.org/spreadsheetml/2006/main" id="696" name="Demolition_87" displayName="Demolition_87" ref="A125:D140" totalsRowShown="0" headerRowDxfId="847" dataDxfId="845" headerRowBorderDxfId="846" tableBorderDxfId="844" headerRowCellStyle="40% - Accent6">
  <autoFilter ref="A125:D140"/>
  <tableColumns count="4">
    <tableColumn id="1" name="Expense" dataDxfId="843"/>
    <tableColumn id="2" name="Description" dataDxfId="842"/>
    <tableColumn id="4" name="Label Name" dataDxfId="841"/>
    <tableColumn id="5" name="Amount" dataDxfId="840" dataCellStyle="40% - Accent6"/>
  </tableColumns>
  <tableStyleInfo name="TableStyleLight18" showFirstColumn="0" showLastColumn="0" showRowStripes="1" showColumnStripes="0"/>
</table>
</file>

<file path=xl/tables/table697.xml><?xml version="1.0" encoding="utf-8"?>
<table xmlns="http://schemas.openxmlformats.org/spreadsheetml/2006/main" id="697" name="Rehab_87" displayName="Rehab_87" ref="A144:D159" totalsRowShown="0" headerRowDxfId="839" dataDxfId="837" headerRowBorderDxfId="838" tableBorderDxfId="836" headerRowCellStyle="40% - Accent6">
  <autoFilter ref="A144:D159"/>
  <tableColumns count="4">
    <tableColumn id="1" name="Expense" dataDxfId="835"/>
    <tableColumn id="2" name="Description" dataDxfId="834"/>
    <tableColumn id="4" name="Label Name" dataDxfId="833"/>
    <tableColumn id="5" name="Amount" dataDxfId="832" dataCellStyle="40% - Accent6"/>
  </tableColumns>
  <tableStyleInfo name="TableStyleLight18" showFirstColumn="0" showLastColumn="0" showRowStripes="1" showColumnStripes="0"/>
</table>
</file>

<file path=xl/tables/table698.xml><?xml version="1.0" encoding="utf-8"?>
<table xmlns="http://schemas.openxmlformats.org/spreadsheetml/2006/main" id="706" name="Grass_88" displayName="Grass_88" ref="A11:D26" totalsRowShown="0" headerRowDxfId="831" dataDxfId="829" headerRowBorderDxfId="830" tableBorderDxfId="828" headerRowCellStyle="40% - Accent6">
  <autoFilter ref="A11:D26"/>
  <tableColumns count="4">
    <tableColumn id="1" name="Expense" dataDxfId="827"/>
    <tableColumn id="2" name="Description" dataDxfId="826"/>
    <tableColumn id="4" name="Label Name" dataDxfId="825"/>
    <tableColumn id="5" name="Amount" dataDxfId="824" dataCellStyle="20% - Accent6"/>
  </tableColumns>
  <tableStyleInfo name="TableStyleLight18" showFirstColumn="0" showLastColumn="0" showRowStripes="1" showColumnStripes="0"/>
</table>
</file>

<file path=xl/tables/table699.xml><?xml version="1.0" encoding="utf-8"?>
<table xmlns="http://schemas.openxmlformats.org/spreadsheetml/2006/main" id="707" name="Tree_88" displayName="Tree_88" ref="A30:D45" totalsRowShown="0" headerRowDxfId="823" dataDxfId="821" headerRowBorderDxfId="822" tableBorderDxfId="820" headerRowCellStyle="40% - Accent6">
  <autoFilter ref="A30:D45"/>
  <tableColumns count="4">
    <tableColumn id="1" name="Expense" dataDxfId="819"/>
    <tableColumn id="2" name="Description" dataDxfId="818"/>
    <tableColumn id="4" name="Label Name" dataDxfId="817"/>
    <tableColumn id="5" name="Amount" dataDxfId="816" dataCellStyle="40% - Accent6"/>
  </tableColumns>
  <tableStyleInfo name="TableStyleLight18" showFirstColumn="0" showLastColumn="0" showRowStripes="1" showColumnStripes="0"/>
</table>
</file>

<file path=xl/tables/table7.xml><?xml version="1.0" encoding="utf-8"?>
<table xmlns="http://schemas.openxmlformats.org/spreadsheetml/2006/main" id="64" name="Fence_1" displayName="Fence_1" ref="A106:D121" totalsRowShown="0" headerRowDxfId="6359" dataDxfId="6357" headerRowBorderDxfId="6358" tableBorderDxfId="6356" headerRowCellStyle="40% - Accent6">
  <autoFilter ref="A106:D121"/>
  <tableColumns count="4">
    <tableColumn id="1" name="Expense" dataDxfId="6355"/>
    <tableColumn id="2" name="Description" dataDxfId="6354"/>
    <tableColumn id="4" name="Label Name" dataDxfId="6353"/>
    <tableColumn id="5" name="Amount" dataDxfId="6352" dataCellStyle="40% - Accent6"/>
  </tableColumns>
  <tableStyleInfo name="TableStyleLight18" showFirstColumn="0" showLastColumn="0" showRowStripes="1" showColumnStripes="0"/>
</table>
</file>

<file path=xl/tables/table70.xml><?xml version="1.0" encoding="utf-8"?>
<table xmlns="http://schemas.openxmlformats.org/spreadsheetml/2006/main" id="135" name="Boarding_9" displayName="Boarding_9" ref="A87:D102" totalsRowShown="0" headerRowDxfId="5855" dataDxfId="5853" headerRowBorderDxfId="5854" tableBorderDxfId="5852" headerRowCellStyle="40% - Accent6">
  <autoFilter ref="A87:D102"/>
  <tableColumns count="4">
    <tableColumn id="1" name="Expense" dataDxfId="5851"/>
    <tableColumn id="2" name="Description" dataDxfId="5850"/>
    <tableColumn id="4" name="Label Name" dataDxfId="5849"/>
    <tableColumn id="5" name="Amount" dataDxfId="5848" dataCellStyle="40% - Accent6"/>
  </tableColumns>
  <tableStyleInfo name="TableStyleLight18" showFirstColumn="0" showLastColumn="0" showRowStripes="1" showColumnStripes="0"/>
</table>
</file>

<file path=xl/tables/table700.xml><?xml version="1.0" encoding="utf-8"?>
<table xmlns="http://schemas.openxmlformats.org/spreadsheetml/2006/main" id="708" name="Pest_88" displayName="Pest_88" ref="A49:D64" totalsRowShown="0" headerRowDxfId="815" dataDxfId="813" headerRowBorderDxfId="814" tableBorderDxfId="812" headerRowCellStyle="40% - Accent6">
  <autoFilter ref="A49:D64"/>
  <tableColumns count="4">
    <tableColumn id="1" name="Expense" dataDxfId="811"/>
    <tableColumn id="2" name="Description" dataDxfId="810"/>
    <tableColumn id="4" name="Label Name" dataDxfId="809"/>
    <tableColumn id="5" name="Amount" dataDxfId="808" dataCellStyle="40% - Accent6"/>
  </tableColumns>
  <tableStyleInfo name="TableStyleLight18" showFirstColumn="0" showLastColumn="0" showRowStripes="1" showColumnStripes="0"/>
</table>
</file>

<file path=xl/tables/table701.xml><?xml version="1.0" encoding="utf-8"?>
<table xmlns="http://schemas.openxmlformats.org/spreadsheetml/2006/main" id="709" name="Garbage_88" displayName="Garbage_88" ref="A68:D83" totalsRowShown="0" headerRowDxfId="807" dataDxfId="805" headerRowBorderDxfId="806" tableBorderDxfId="804" headerRowCellStyle="40% - Accent6">
  <autoFilter ref="A68:D83"/>
  <tableColumns count="4">
    <tableColumn id="1" name="Expense" dataDxfId="803"/>
    <tableColumn id="2" name="Description" dataDxfId="802"/>
    <tableColumn id="4" name="Label Name" dataDxfId="801"/>
    <tableColumn id="5" name="Amount" dataDxfId="800" dataCellStyle="20% - Accent6"/>
  </tableColumns>
  <tableStyleInfo name="TableStyleLight18" showFirstColumn="0" showLastColumn="0" showRowStripes="1" showColumnStripes="0"/>
</table>
</file>

<file path=xl/tables/table702.xml><?xml version="1.0" encoding="utf-8"?>
<table xmlns="http://schemas.openxmlformats.org/spreadsheetml/2006/main" id="710" name="Boarding_88" displayName="Boarding_88" ref="A87:D102" totalsRowShown="0" headerRowDxfId="799" dataDxfId="797" headerRowBorderDxfId="798" tableBorderDxfId="796" headerRowCellStyle="40% - Accent6">
  <autoFilter ref="A87:D102"/>
  <tableColumns count="4">
    <tableColumn id="1" name="Expense" dataDxfId="795"/>
    <tableColumn id="2" name="Description" dataDxfId="794"/>
    <tableColumn id="4" name="Label Name" dataDxfId="793"/>
    <tableColumn id="5" name="Amount" dataDxfId="792" dataCellStyle="40% - Accent6"/>
  </tableColumns>
  <tableStyleInfo name="TableStyleLight18" showFirstColumn="0" showLastColumn="0" showRowStripes="1" showColumnStripes="0"/>
</table>
</file>

<file path=xl/tables/table703.xml><?xml version="1.0" encoding="utf-8"?>
<table xmlns="http://schemas.openxmlformats.org/spreadsheetml/2006/main" id="711" name="Fence_88" displayName="Fence_88" ref="A106:D121" totalsRowShown="0" headerRowDxfId="791" dataDxfId="789" headerRowBorderDxfId="790" tableBorderDxfId="788" headerRowCellStyle="40% - Accent6">
  <autoFilter ref="A106:D121"/>
  <tableColumns count="4">
    <tableColumn id="1" name="Expense" dataDxfId="787"/>
    <tableColumn id="2" name="Description" dataDxfId="786"/>
    <tableColumn id="4" name="Label Name" dataDxfId="785"/>
    <tableColumn id="5" name="Amount" dataDxfId="784" dataCellStyle="40% - Accent6"/>
  </tableColumns>
  <tableStyleInfo name="TableStyleLight18" showFirstColumn="0" showLastColumn="0" showRowStripes="1" showColumnStripes="0"/>
</table>
</file>

<file path=xl/tables/table704.xml><?xml version="1.0" encoding="utf-8"?>
<table xmlns="http://schemas.openxmlformats.org/spreadsheetml/2006/main" id="712" name="Demolition_88" displayName="Demolition_88" ref="A125:D140" totalsRowShown="0" headerRowDxfId="783" dataDxfId="781" headerRowBorderDxfId="782" tableBorderDxfId="780" headerRowCellStyle="40% - Accent6">
  <autoFilter ref="A125:D140"/>
  <tableColumns count="4">
    <tableColumn id="1" name="Expense" dataDxfId="779"/>
    <tableColumn id="2" name="Description" dataDxfId="778"/>
    <tableColumn id="4" name="Label Name" dataDxfId="777"/>
    <tableColumn id="5" name="Amount" dataDxfId="776" dataCellStyle="40% - Accent6"/>
  </tableColumns>
  <tableStyleInfo name="TableStyleLight18" showFirstColumn="0" showLastColumn="0" showRowStripes="1" showColumnStripes="0"/>
</table>
</file>

<file path=xl/tables/table705.xml><?xml version="1.0" encoding="utf-8"?>
<table xmlns="http://schemas.openxmlformats.org/spreadsheetml/2006/main" id="713" name="Rehab_88" displayName="Rehab_88" ref="A144:D159" totalsRowShown="0" headerRowDxfId="775" dataDxfId="773" headerRowBorderDxfId="774" tableBorderDxfId="772" headerRowCellStyle="40% - Accent6">
  <autoFilter ref="A144:D159"/>
  <tableColumns count="4">
    <tableColumn id="1" name="Expense" dataDxfId="771"/>
    <tableColumn id="2" name="Description" dataDxfId="770"/>
    <tableColumn id="4" name="Label Name" dataDxfId="769"/>
    <tableColumn id="5" name="Amount" dataDxfId="768" dataCellStyle="40% - Accent6"/>
  </tableColumns>
  <tableStyleInfo name="TableStyleLight18" showFirstColumn="0" showLastColumn="0" showRowStripes="1" showColumnStripes="0"/>
</table>
</file>

<file path=xl/tables/table706.xml><?xml version="1.0" encoding="utf-8"?>
<table xmlns="http://schemas.openxmlformats.org/spreadsheetml/2006/main" id="698" name="Grass_89" displayName="Grass_89" ref="A11:D26" totalsRowShown="0" headerRowDxfId="767" dataDxfId="765" headerRowBorderDxfId="766" tableBorderDxfId="764" headerRowCellStyle="40% - Accent6">
  <autoFilter ref="A11:D26"/>
  <tableColumns count="4">
    <tableColumn id="1" name="Expense" dataDxfId="763"/>
    <tableColumn id="2" name="Description" dataDxfId="762"/>
    <tableColumn id="4" name="Label Name" dataDxfId="761"/>
    <tableColumn id="5" name="Amount" dataDxfId="760" dataCellStyle="20% - Accent6"/>
  </tableColumns>
  <tableStyleInfo name="TableStyleLight18" showFirstColumn="0" showLastColumn="0" showRowStripes="1" showColumnStripes="0"/>
</table>
</file>

<file path=xl/tables/table707.xml><?xml version="1.0" encoding="utf-8"?>
<table xmlns="http://schemas.openxmlformats.org/spreadsheetml/2006/main" id="699" name="Tree_89" displayName="Tree_89" ref="A30:D45" totalsRowShown="0" headerRowDxfId="759" dataDxfId="757" headerRowBorderDxfId="758" tableBorderDxfId="756" headerRowCellStyle="40% - Accent6">
  <autoFilter ref="A30:D45"/>
  <tableColumns count="4">
    <tableColumn id="1" name="Expense" dataDxfId="755"/>
    <tableColumn id="2" name="Description" dataDxfId="754"/>
    <tableColumn id="4" name="Label Name" dataDxfId="753"/>
    <tableColumn id="5" name="Amount" dataDxfId="752" dataCellStyle="40% - Accent6"/>
  </tableColumns>
  <tableStyleInfo name="TableStyleLight18" showFirstColumn="0" showLastColumn="0" showRowStripes="1" showColumnStripes="0"/>
</table>
</file>

<file path=xl/tables/table708.xml><?xml version="1.0" encoding="utf-8"?>
<table xmlns="http://schemas.openxmlformats.org/spreadsheetml/2006/main" id="700" name="Pest_89" displayName="Pest_89" ref="A49:D64" totalsRowShown="0" headerRowDxfId="751" dataDxfId="749" headerRowBorderDxfId="750" tableBorderDxfId="748" headerRowCellStyle="40% - Accent6">
  <autoFilter ref="A49:D64"/>
  <tableColumns count="4">
    <tableColumn id="1" name="Expense" dataDxfId="747"/>
    <tableColumn id="2" name="Description" dataDxfId="746"/>
    <tableColumn id="4" name="Label Name" dataDxfId="745"/>
    <tableColumn id="5" name="Amount" dataDxfId="744" dataCellStyle="40% - Accent6"/>
  </tableColumns>
  <tableStyleInfo name="TableStyleLight18" showFirstColumn="0" showLastColumn="0" showRowStripes="1" showColumnStripes="0"/>
</table>
</file>

<file path=xl/tables/table709.xml><?xml version="1.0" encoding="utf-8"?>
<table xmlns="http://schemas.openxmlformats.org/spreadsheetml/2006/main" id="701" name="Garbage_89" displayName="Garbage_89" ref="A68:D83" totalsRowShown="0" headerRowDxfId="743" dataDxfId="741" headerRowBorderDxfId="742" tableBorderDxfId="740" headerRowCellStyle="40% - Accent6">
  <autoFilter ref="A68:D83"/>
  <tableColumns count="4">
    <tableColumn id="1" name="Expense" dataDxfId="739"/>
    <tableColumn id="2" name="Description" dataDxfId="738"/>
    <tableColumn id="4" name="Label Name" dataDxfId="737"/>
    <tableColumn id="5" name="Amount" dataDxfId="736" dataCellStyle="20% - Accent6"/>
  </tableColumns>
  <tableStyleInfo name="TableStyleLight18" showFirstColumn="0" showLastColumn="0" showRowStripes="1" showColumnStripes="0"/>
</table>
</file>

<file path=xl/tables/table71.xml><?xml version="1.0" encoding="utf-8"?>
<table xmlns="http://schemas.openxmlformats.org/spreadsheetml/2006/main" id="136" name="Fence_9" displayName="Fence_9" ref="A106:D121" totalsRowShown="0" headerRowDxfId="5847" dataDxfId="5845" headerRowBorderDxfId="5846" tableBorderDxfId="5844" headerRowCellStyle="40% - Accent6">
  <autoFilter ref="A106:D121"/>
  <tableColumns count="4">
    <tableColumn id="1" name="Expense" dataDxfId="5843"/>
    <tableColumn id="2" name="Description" dataDxfId="5842"/>
    <tableColumn id="4" name="Label Name" dataDxfId="5841"/>
    <tableColumn id="5" name="Amount" dataDxfId="5840" dataCellStyle="40% - Accent6"/>
  </tableColumns>
  <tableStyleInfo name="TableStyleLight18" showFirstColumn="0" showLastColumn="0" showRowStripes="1" showColumnStripes="0"/>
</table>
</file>

<file path=xl/tables/table710.xml><?xml version="1.0" encoding="utf-8"?>
<table xmlns="http://schemas.openxmlformats.org/spreadsheetml/2006/main" id="702" name="Boarding_89" displayName="Boarding_89" ref="A87:D102" totalsRowShown="0" headerRowDxfId="735" dataDxfId="733" headerRowBorderDxfId="734" tableBorderDxfId="732" headerRowCellStyle="40% - Accent6">
  <autoFilter ref="A87:D102"/>
  <tableColumns count="4">
    <tableColumn id="1" name="Expense" dataDxfId="731"/>
    <tableColumn id="2" name="Description" dataDxfId="730"/>
    <tableColumn id="4" name="Label Name" dataDxfId="729"/>
    <tableColumn id="5" name="Amount" dataDxfId="728" dataCellStyle="40% - Accent6"/>
  </tableColumns>
  <tableStyleInfo name="TableStyleLight18" showFirstColumn="0" showLastColumn="0" showRowStripes="1" showColumnStripes="0"/>
</table>
</file>

<file path=xl/tables/table711.xml><?xml version="1.0" encoding="utf-8"?>
<table xmlns="http://schemas.openxmlformats.org/spreadsheetml/2006/main" id="703" name="Fence_89" displayName="Fence_89" ref="A106:D121" totalsRowShown="0" headerRowDxfId="727" dataDxfId="725" headerRowBorderDxfId="726" tableBorderDxfId="724" headerRowCellStyle="40% - Accent6">
  <autoFilter ref="A106:D121"/>
  <tableColumns count="4">
    <tableColumn id="1" name="Expense" dataDxfId="723"/>
    <tableColumn id="2" name="Description" dataDxfId="722"/>
    <tableColumn id="4" name="Label Name" dataDxfId="721"/>
    <tableColumn id="5" name="Amount" dataDxfId="720" dataCellStyle="40% - Accent6"/>
  </tableColumns>
  <tableStyleInfo name="TableStyleLight18" showFirstColumn="0" showLastColumn="0" showRowStripes="1" showColumnStripes="0"/>
</table>
</file>

<file path=xl/tables/table712.xml><?xml version="1.0" encoding="utf-8"?>
<table xmlns="http://schemas.openxmlformats.org/spreadsheetml/2006/main" id="704" name="Demolition_89" displayName="Demolition_89" ref="A125:D140" totalsRowShown="0" headerRowDxfId="719" dataDxfId="717" headerRowBorderDxfId="718" tableBorderDxfId="716" headerRowCellStyle="40% - Accent6">
  <autoFilter ref="A125:D140"/>
  <tableColumns count="4">
    <tableColumn id="1" name="Expense" dataDxfId="715"/>
    <tableColumn id="2" name="Description" dataDxfId="714"/>
    <tableColumn id="4" name="Label Name" dataDxfId="713"/>
    <tableColumn id="5" name="Amount" dataDxfId="712" dataCellStyle="40% - Accent6"/>
  </tableColumns>
  <tableStyleInfo name="TableStyleLight18" showFirstColumn="0" showLastColumn="0" showRowStripes="1" showColumnStripes="0"/>
</table>
</file>

<file path=xl/tables/table713.xml><?xml version="1.0" encoding="utf-8"?>
<table xmlns="http://schemas.openxmlformats.org/spreadsheetml/2006/main" id="705" name="Rehab_89" displayName="Rehab_89" ref="A144:D159" totalsRowShown="0" headerRowDxfId="711" dataDxfId="709" headerRowBorderDxfId="710" tableBorderDxfId="708" headerRowCellStyle="40% - Accent6">
  <autoFilter ref="A144:D159"/>
  <tableColumns count="4">
    <tableColumn id="1" name="Expense" dataDxfId="707"/>
    <tableColumn id="2" name="Description" dataDxfId="706"/>
    <tableColumn id="4" name="Label Name" dataDxfId="705"/>
    <tableColumn id="5" name="Amount" dataDxfId="704" dataCellStyle="40% - Accent6"/>
  </tableColumns>
  <tableStyleInfo name="TableStyleLight18" showFirstColumn="0" showLastColumn="0" showRowStripes="1" showColumnStripes="0"/>
</table>
</file>

<file path=xl/tables/table714.xml><?xml version="1.0" encoding="utf-8"?>
<table xmlns="http://schemas.openxmlformats.org/spreadsheetml/2006/main" id="714" name="Grass_90" displayName="Grass_90" ref="A11:D26" totalsRowShown="0" headerRowDxfId="703" dataDxfId="701" headerRowBorderDxfId="702" tableBorderDxfId="700" headerRowCellStyle="40% - Accent6">
  <autoFilter ref="A11:D26"/>
  <tableColumns count="4">
    <tableColumn id="1" name="Expense" dataDxfId="699"/>
    <tableColumn id="2" name="Description" dataDxfId="698"/>
    <tableColumn id="4" name="Label Name" dataDxfId="697"/>
    <tableColumn id="5" name="Amount" dataDxfId="696" dataCellStyle="20% - Accent6"/>
  </tableColumns>
  <tableStyleInfo name="TableStyleLight18" showFirstColumn="0" showLastColumn="0" showRowStripes="1" showColumnStripes="0"/>
</table>
</file>

<file path=xl/tables/table715.xml><?xml version="1.0" encoding="utf-8"?>
<table xmlns="http://schemas.openxmlformats.org/spreadsheetml/2006/main" id="715" name="Tree_90" displayName="Tree_90" ref="A30:D45" totalsRowShown="0" headerRowDxfId="695" dataDxfId="693" headerRowBorderDxfId="694" tableBorderDxfId="692" headerRowCellStyle="40% - Accent6">
  <autoFilter ref="A30:D45"/>
  <tableColumns count="4">
    <tableColumn id="1" name="Expense" dataDxfId="691"/>
    <tableColumn id="2" name="Description" dataDxfId="690"/>
    <tableColumn id="4" name="Label Name" dataDxfId="689"/>
    <tableColumn id="5" name="Amount" dataDxfId="688" dataCellStyle="40% - Accent6"/>
  </tableColumns>
  <tableStyleInfo name="TableStyleLight18" showFirstColumn="0" showLastColumn="0" showRowStripes="1" showColumnStripes="0"/>
</table>
</file>

<file path=xl/tables/table716.xml><?xml version="1.0" encoding="utf-8"?>
<table xmlns="http://schemas.openxmlformats.org/spreadsheetml/2006/main" id="716" name="Pest_90" displayName="Pest_90" ref="A49:D64" totalsRowShown="0" headerRowDxfId="687" dataDxfId="685" headerRowBorderDxfId="686" tableBorderDxfId="684" headerRowCellStyle="40% - Accent6">
  <autoFilter ref="A49:D64"/>
  <tableColumns count="4">
    <tableColumn id="1" name="Expense" dataDxfId="683"/>
    <tableColumn id="2" name="Description" dataDxfId="682"/>
    <tableColumn id="4" name="Label Name" dataDxfId="681"/>
    <tableColumn id="5" name="Amount" dataDxfId="680" dataCellStyle="40% - Accent6"/>
  </tableColumns>
  <tableStyleInfo name="TableStyleLight18" showFirstColumn="0" showLastColumn="0" showRowStripes="1" showColumnStripes="0"/>
</table>
</file>

<file path=xl/tables/table717.xml><?xml version="1.0" encoding="utf-8"?>
<table xmlns="http://schemas.openxmlformats.org/spreadsheetml/2006/main" id="717" name="Garbage_90" displayName="Garbage_90" ref="A68:D83" totalsRowShown="0" headerRowDxfId="679" dataDxfId="677" headerRowBorderDxfId="678" tableBorderDxfId="676" headerRowCellStyle="40% - Accent6">
  <autoFilter ref="A68:D83"/>
  <tableColumns count="4">
    <tableColumn id="1" name="Expense" dataDxfId="675"/>
    <tableColumn id="2" name="Description" dataDxfId="674"/>
    <tableColumn id="4" name="Label Name" dataDxfId="673"/>
    <tableColumn id="5" name="Amount" dataDxfId="672" dataCellStyle="20% - Accent6"/>
  </tableColumns>
  <tableStyleInfo name="TableStyleLight18" showFirstColumn="0" showLastColumn="0" showRowStripes="1" showColumnStripes="0"/>
</table>
</file>

<file path=xl/tables/table718.xml><?xml version="1.0" encoding="utf-8"?>
<table xmlns="http://schemas.openxmlformats.org/spreadsheetml/2006/main" id="718" name="Boarding_90" displayName="Boarding_90" ref="A87:D102" totalsRowShown="0" headerRowDxfId="671" dataDxfId="669" headerRowBorderDxfId="670" tableBorderDxfId="668" headerRowCellStyle="40% - Accent6">
  <autoFilter ref="A87:D102"/>
  <tableColumns count="4">
    <tableColumn id="1" name="Expense" dataDxfId="667"/>
    <tableColumn id="2" name="Description" dataDxfId="666"/>
    <tableColumn id="4" name="Label Name" dataDxfId="665"/>
    <tableColumn id="5" name="Amount" dataDxfId="664" dataCellStyle="40% - Accent6"/>
  </tableColumns>
  <tableStyleInfo name="TableStyleLight18" showFirstColumn="0" showLastColumn="0" showRowStripes="1" showColumnStripes="0"/>
</table>
</file>

<file path=xl/tables/table719.xml><?xml version="1.0" encoding="utf-8"?>
<table xmlns="http://schemas.openxmlformats.org/spreadsheetml/2006/main" id="719" name="Fence_90" displayName="Fence_90" ref="A106:D121" totalsRowShown="0" headerRowDxfId="663" dataDxfId="661" headerRowBorderDxfId="662" tableBorderDxfId="660" headerRowCellStyle="40% - Accent6">
  <autoFilter ref="A106:D121"/>
  <tableColumns count="4">
    <tableColumn id="1" name="Expense" dataDxfId="659"/>
    <tableColumn id="2" name="Description" dataDxfId="658"/>
    <tableColumn id="4" name="Label Name" dataDxfId="657"/>
    <tableColumn id="5" name="Amount" dataDxfId="656" dataCellStyle="40% - Accent6"/>
  </tableColumns>
  <tableStyleInfo name="TableStyleLight18" showFirstColumn="0" showLastColumn="0" showRowStripes="1" showColumnStripes="0"/>
</table>
</file>

<file path=xl/tables/table72.xml><?xml version="1.0" encoding="utf-8"?>
<table xmlns="http://schemas.openxmlformats.org/spreadsheetml/2006/main" id="137" name="Demolition_9" displayName="Demolition_9" ref="A125:D140" totalsRowShown="0" headerRowDxfId="5839" dataDxfId="5837" headerRowBorderDxfId="5838" tableBorderDxfId="5836" headerRowCellStyle="40% - Accent6">
  <autoFilter ref="A125:D140"/>
  <tableColumns count="4">
    <tableColumn id="1" name="Expense" dataDxfId="5835"/>
    <tableColumn id="2" name="Description" dataDxfId="5834"/>
    <tableColumn id="4" name="Label Name" dataDxfId="5833"/>
    <tableColumn id="5" name="Amount" dataDxfId="5832" dataCellStyle="40% - Accent6"/>
  </tableColumns>
  <tableStyleInfo name="TableStyleLight18" showFirstColumn="0" showLastColumn="0" showRowStripes="1" showColumnStripes="0"/>
</table>
</file>

<file path=xl/tables/table720.xml><?xml version="1.0" encoding="utf-8"?>
<table xmlns="http://schemas.openxmlformats.org/spreadsheetml/2006/main" id="720" name="Demolition_90" displayName="Demolition_90" ref="A125:D140" totalsRowShown="0" headerRowDxfId="655" dataDxfId="653" headerRowBorderDxfId="654" tableBorderDxfId="652" headerRowCellStyle="40% - Accent6">
  <autoFilter ref="A125:D140"/>
  <tableColumns count="4">
    <tableColumn id="1" name="Expense" dataDxfId="651"/>
    <tableColumn id="2" name="Description" dataDxfId="650"/>
    <tableColumn id="4" name="Label Name" dataDxfId="649"/>
    <tableColumn id="5" name="Amount" dataDxfId="648" dataCellStyle="40% - Accent6"/>
  </tableColumns>
  <tableStyleInfo name="TableStyleLight18" showFirstColumn="0" showLastColumn="0" showRowStripes="1" showColumnStripes="0"/>
</table>
</file>

<file path=xl/tables/table721.xml><?xml version="1.0" encoding="utf-8"?>
<table xmlns="http://schemas.openxmlformats.org/spreadsheetml/2006/main" id="721" name="Rehab_90" displayName="Rehab_90" ref="A144:D159" totalsRowShown="0" headerRowDxfId="647" dataDxfId="645" headerRowBorderDxfId="646" tableBorderDxfId="644" headerRowCellStyle="40% - Accent6">
  <autoFilter ref="A144:D159"/>
  <tableColumns count="4">
    <tableColumn id="1" name="Expense" dataDxfId="643"/>
    <tableColumn id="2" name="Description" dataDxfId="642"/>
    <tableColumn id="4" name="Label Name" dataDxfId="641"/>
    <tableColumn id="5" name="Amount" dataDxfId="640" dataCellStyle="40% - Accent6"/>
  </tableColumns>
  <tableStyleInfo name="TableStyleLight18" showFirstColumn="0" showLastColumn="0" showRowStripes="1" showColumnStripes="0"/>
</table>
</file>

<file path=xl/tables/table722.xml><?xml version="1.0" encoding="utf-8"?>
<table xmlns="http://schemas.openxmlformats.org/spreadsheetml/2006/main" id="722" name="Grass_91" displayName="Grass_91" ref="A11:D26" totalsRowShown="0" headerRowDxfId="639" dataDxfId="637" headerRowBorderDxfId="638" tableBorderDxfId="636" headerRowCellStyle="40% - Accent6">
  <autoFilter ref="A11:D26"/>
  <tableColumns count="4">
    <tableColumn id="1" name="Expense" dataDxfId="635"/>
    <tableColumn id="2" name="Description" dataDxfId="634"/>
    <tableColumn id="4" name="Label Name" dataDxfId="633"/>
    <tableColumn id="5" name="Amount" dataDxfId="632" dataCellStyle="20% - Accent6"/>
  </tableColumns>
  <tableStyleInfo name="TableStyleLight18" showFirstColumn="0" showLastColumn="0" showRowStripes="1" showColumnStripes="0"/>
</table>
</file>

<file path=xl/tables/table723.xml><?xml version="1.0" encoding="utf-8"?>
<table xmlns="http://schemas.openxmlformats.org/spreadsheetml/2006/main" id="723" name="Tree_91" displayName="Tree_91" ref="A30:D45" totalsRowShown="0" headerRowDxfId="631" dataDxfId="629" headerRowBorderDxfId="630" tableBorderDxfId="628" headerRowCellStyle="40% - Accent6">
  <autoFilter ref="A30:D45"/>
  <tableColumns count="4">
    <tableColumn id="1" name="Expense" dataDxfId="627"/>
    <tableColumn id="2" name="Description" dataDxfId="626"/>
    <tableColumn id="4" name="Label Name" dataDxfId="625"/>
    <tableColumn id="5" name="Amount" dataDxfId="624" dataCellStyle="40% - Accent6"/>
  </tableColumns>
  <tableStyleInfo name="TableStyleLight18" showFirstColumn="0" showLastColumn="0" showRowStripes="1" showColumnStripes="0"/>
</table>
</file>

<file path=xl/tables/table724.xml><?xml version="1.0" encoding="utf-8"?>
<table xmlns="http://schemas.openxmlformats.org/spreadsheetml/2006/main" id="724" name="Pest_91" displayName="Pest_91" ref="A49:D64" totalsRowShown="0" headerRowDxfId="623" dataDxfId="621" headerRowBorderDxfId="622" tableBorderDxfId="620" headerRowCellStyle="40% - Accent6">
  <autoFilter ref="A49:D64"/>
  <tableColumns count="4">
    <tableColumn id="1" name="Expense" dataDxfId="619"/>
    <tableColumn id="2" name="Description" dataDxfId="618"/>
    <tableColumn id="4" name="Label Name" dataDxfId="617"/>
    <tableColumn id="5" name="Amount" dataDxfId="616" dataCellStyle="40% - Accent6"/>
  </tableColumns>
  <tableStyleInfo name="TableStyleLight18" showFirstColumn="0" showLastColumn="0" showRowStripes="1" showColumnStripes="0"/>
</table>
</file>

<file path=xl/tables/table725.xml><?xml version="1.0" encoding="utf-8"?>
<table xmlns="http://schemas.openxmlformats.org/spreadsheetml/2006/main" id="725" name="Garbage_91" displayName="Garbage_91" ref="A68:D83" totalsRowShown="0" headerRowDxfId="615" dataDxfId="613" headerRowBorderDxfId="614" tableBorderDxfId="612" headerRowCellStyle="40% - Accent6">
  <autoFilter ref="A68:D83"/>
  <tableColumns count="4">
    <tableColumn id="1" name="Expense" dataDxfId="611"/>
    <tableColumn id="2" name="Description" dataDxfId="610"/>
    <tableColumn id="4" name="Label Name" dataDxfId="609"/>
    <tableColumn id="5" name="Amount" dataDxfId="608" dataCellStyle="20% - Accent6"/>
  </tableColumns>
  <tableStyleInfo name="TableStyleLight18" showFirstColumn="0" showLastColumn="0" showRowStripes="1" showColumnStripes="0"/>
</table>
</file>

<file path=xl/tables/table726.xml><?xml version="1.0" encoding="utf-8"?>
<table xmlns="http://schemas.openxmlformats.org/spreadsheetml/2006/main" id="726" name="Boarding_91" displayName="Boarding_91" ref="A87:D102" totalsRowShown="0" headerRowDxfId="607" dataDxfId="605" headerRowBorderDxfId="606" tableBorderDxfId="604" headerRowCellStyle="40% - Accent6">
  <autoFilter ref="A87:D102"/>
  <tableColumns count="4">
    <tableColumn id="1" name="Expense" dataDxfId="603"/>
    <tableColumn id="2" name="Description" dataDxfId="602"/>
    <tableColumn id="4" name="Label Name" dataDxfId="601"/>
    <tableColumn id="5" name="Amount" dataDxfId="600" dataCellStyle="40% - Accent6"/>
  </tableColumns>
  <tableStyleInfo name="TableStyleLight18" showFirstColumn="0" showLastColumn="0" showRowStripes="1" showColumnStripes="0"/>
</table>
</file>

<file path=xl/tables/table727.xml><?xml version="1.0" encoding="utf-8"?>
<table xmlns="http://schemas.openxmlformats.org/spreadsheetml/2006/main" id="727" name="Fence_91" displayName="Fence_91" ref="A106:D121" totalsRowShown="0" headerRowDxfId="599" dataDxfId="597" headerRowBorderDxfId="598" tableBorderDxfId="596" headerRowCellStyle="40% - Accent6">
  <autoFilter ref="A106:D121"/>
  <tableColumns count="4">
    <tableColumn id="1" name="Expense" dataDxfId="595"/>
    <tableColumn id="2" name="Description" dataDxfId="594"/>
    <tableColumn id="4" name="Label Name" dataDxfId="593"/>
    <tableColumn id="5" name="Amount" dataDxfId="592" dataCellStyle="40% - Accent6"/>
  </tableColumns>
  <tableStyleInfo name="TableStyleLight18" showFirstColumn="0" showLastColumn="0" showRowStripes="1" showColumnStripes="0"/>
</table>
</file>

<file path=xl/tables/table728.xml><?xml version="1.0" encoding="utf-8"?>
<table xmlns="http://schemas.openxmlformats.org/spreadsheetml/2006/main" id="728" name="Demolition_91" displayName="Demolition_91" ref="A125:D140" totalsRowShown="0" headerRowDxfId="591" dataDxfId="589" headerRowBorderDxfId="590" tableBorderDxfId="588" headerRowCellStyle="40% - Accent6">
  <autoFilter ref="A125:D140"/>
  <tableColumns count="4">
    <tableColumn id="1" name="Expense" dataDxfId="587"/>
    <tableColumn id="2" name="Description" dataDxfId="586"/>
    <tableColumn id="4" name="Label Name" dataDxfId="585"/>
    <tableColumn id="5" name="Amount" dataDxfId="584" dataCellStyle="40% - Accent6"/>
  </tableColumns>
  <tableStyleInfo name="TableStyleLight18" showFirstColumn="0" showLastColumn="0" showRowStripes="1" showColumnStripes="0"/>
</table>
</file>

<file path=xl/tables/table729.xml><?xml version="1.0" encoding="utf-8"?>
<table xmlns="http://schemas.openxmlformats.org/spreadsheetml/2006/main" id="729" name="Rehab_91" displayName="Rehab_91" ref="A144:D159" totalsRowShown="0" headerRowDxfId="583" dataDxfId="581" headerRowBorderDxfId="582" tableBorderDxfId="580" headerRowCellStyle="40% - Accent6">
  <autoFilter ref="A144:D159"/>
  <tableColumns count="4">
    <tableColumn id="1" name="Expense" dataDxfId="579"/>
    <tableColumn id="2" name="Description" dataDxfId="578"/>
    <tableColumn id="4" name="Label Name" dataDxfId="577"/>
    <tableColumn id="5" name="Amount" dataDxfId="576" dataCellStyle="40% - Accent6"/>
  </tableColumns>
  <tableStyleInfo name="TableStyleLight18" showFirstColumn="0" showLastColumn="0" showRowStripes="1" showColumnStripes="0"/>
</table>
</file>

<file path=xl/tables/table73.xml><?xml version="1.0" encoding="utf-8"?>
<table xmlns="http://schemas.openxmlformats.org/spreadsheetml/2006/main" id="138" name="Rehab_9" displayName="Rehab_9" ref="A144:D159" totalsRowShown="0" headerRowDxfId="5831" dataDxfId="5829" headerRowBorderDxfId="5830" tableBorderDxfId="5828" headerRowCellStyle="40% - Accent6">
  <autoFilter ref="A144:D159"/>
  <tableColumns count="4">
    <tableColumn id="1" name="Expense" dataDxfId="5827"/>
    <tableColumn id="2" name="Description" dataDxfId="5826"/>
    <tableColumn id="4" name="Label Name" dataDxfId="5825"/>
    <tableColumn id="5" name="Amount" dataDxfId="5824" dataCellStyle="40% - Accent6"/>
  </tableColumns>
  <tableStyleInfo name="TableStyleLight18" showFirstColumn="0" showLastColumn="0" showRowStripes="1" showColumnStripes="0"/>
</table>
</file>

<file path=xl/tables/table730.xml><?xml version="1.0" encoding="utf-8"?>
<table xmlns="http://schemas.openxmlformats.org/spreadsheetml/2006/main" id="730" name="Grass_92" displayName="Grass_92" ref="A11:D26" totalsRowShown="0" headerRowDxfId="575" dataDxfId="573" headerRowBorderDxfId="574" tableBorderDxfId="572" headerRowCellStyle="40% - Accent6">
  <autoFilter ref="A11:D26"/>
  <tableColumns count="4">
    <tableColumn id="1" name="Expense" dataDxfId="571"/>
    <tableColumn id="2" name="Description" dataDxfId="570"/>
    <tableColumn id="4" name="Label Name" dataDxfId="569"/>
    <tableColumn id="5" name="Amount" dataDxfId="568" dataCellStyle="20% - Accent6"/>
  </tableColumns>
  <tableStyleInfo name="TableStyleLight18" showFirstColumn="0" showLastColumn="0" showRowStripes="1" showColumnStripes="0"/>
</table>
</file>

<file path=xl/tables/table731.xml><?xml version="1.0" encoding="utf-8"?>
<table xmlns="http://schemas.openxmlformats.org/spreadsheetml/2006/main" id="731" name="Tree_92" displayName="Tree_92" ref="A30:D45" totalsRowShown="0" headerRowDxfId="567" dataDxfId="565" headerRowBorderDxfId="566" tableBorderDxfId="564" headerRowCellStyle="40% - Accent6">
  <autoFilter ref="A30:D45"/>
  <tableColumns count="4">
    <tableColumn id="1" name="Expense" dataDxfId="563"/>
    <tableColumn id="2" name="Description" dataDxfId="562"/>
    <tableColumn id="4" name="Label Name" dataDxfId="561"/>
    <tableColumn id="5" name="Amount" dataDxfId="560" dataCellStyle="40% - Accent6"/>
  </tableColumns>
  <tableStyleInfo name="TableStyleLight18" showFirstColumn="0" showLastColumn="0" showRowStripes="1" showColumnStripes="0"/>
</table>
</file>

<file path=xl/tables/table732.xml><?xml version="1.0" encoding="utf-8"?>
<table xmlns="http://schemas.openxmlformats.org/spreadsheetml/2006/main" id="732" name="Pest_92" displayName="Pest_92" ref="A49:D64" totalsRowShown="0" headerRowDxfId="559" dataDxfId="557" headerRowBorderDxfId="558" tableBorderDxfId="556" headerRowCellStyle="40% - Accent6">
  <autoFilter ref="A49:D64"/>
  <tableColumns count="4">
    <tableColumn id="1" name="Expense" dataDxfId="555"/>
    <tableColumn id="2" name="Description" dataDxfId="554"/>
    <tableColumn id="4" name="Label Name" dataDxfId="553"/>
    <tableColumn id="5" name="Amount" dataDxfId="552" dataCellStyle="40% - Accent6"/>
  </tableColumns>
  <tableStyleInfo name="TableStyleLight18" showFirstColumn="0" showLastColumn="0" showRowStripes="1" showColumnStripes="0"/>
</table>
</file>

<file path=xl/tables/table733.xml><?xml version="1.0" encoding="utf-8"?>
<table xmlns="http://schemas.openxmlformats.org/spreadsheetml/2006/main" id="733" name="Garbage_92" displayName="Garbage_92" ref="A68:D83" totalsRowShown="0" headerRowDxfId="551" dataDxfId="549" headerRowBorderDxfId="550" tableBorderDxfId="548" headerRowCellStyle="40% - Accent6">
  <autoFilter ref="A68:D83"/>
  <tableColumns count="4">
    <tableColumn id="1" name="Expense" dataDxfId="547"/>
    <tableColumn id="2" name="Description" dataDxfId="546"/>
    <tableColumn id="4" name="Label Name" dataDxfId="545"/>
    <tableColumn id="5" name="Amount" dataDxfId="544" dataCellStyle="20% - Accent6"/>
  </tableColumns>
  <tableStyleInfo name="TableStyleLight18" showFirstColumn="0" showLastColumn="0" showRowStripes="1" showColumnStripes="0"/>
</table>
</file>

<file path=xl/tables/table734.xml><?xml version="1.0" encoding="utf-8"?>
<table xmlns="http://schemas.openxmlformats.org/spreadsheetml/2006/main" id="734" name="Boarding_92" displayName="Boarding_92" ref="A87:D102" totalsRowShown="0" headerRowDxfId="543" dataDxfId="541" headerRowBorderDxfId="542" tableBorderDxfId="540" headerRowCellStyle="40% - Accent6">
  <autoFilter ref="A87:D102"/>
  <tableColumns count="4">
    <tableColumn id="1" name="Expense" dataDxfId="539"/>
    <tableColumn id="2" name="Description" dataDxfId="538"/>
    <tableColumn id="4" name="Label Name" dataDxfId="537"/>
    <tableColumn id="5" name="Amount" dataDxfId="536" dataCellStyle="40% - Accent6"/>
  </tableColumns>
  <tableStyleInfo name="TableStyleLight18" showFirstColumn="0" showLastColumn="0" showRowStripes="1" showColumnStripes="0"/>
</table>
</file>

<file path=xl/tables/table735.xml><?xml version="1.0" encoding="utf-8"?>
<table xmlns="http://schemas.openxmlformats.org/spreadsheetml/2006/main" id="735" name="Fence_92" displayName="Fence_92" ref="A106:D121" totalsRowShown="0" headerRowDxfId="535" dataDxfId="533" headerRowBorderDxfId="534" tableBorderDxfId="532" headerRowCellStyle="40% - Accent6">
  <autoFilter ref="A106:D121"/>
  <tableColumns count="4">
    <tableColumn id="1" name="Expense" dataDxfId="531"/>
    <tableColumn id="2" name="Description" dataDxfId="530"/>
    <tableColumn id="4" name="Label Name" dataDxfId="529"/>
    <tableColumn id="5" name="Amount" dataDxfId="528" dataCellStyle="40% - Accent6"/>
  </tableColumns>
  <tableStyleInfo name="TableStyleLight18" showFirstColumn="0" showLastColumn="0" showRowStripes="1" showColumnStripes="0"/>
</table>
</file>

<file path=xl/tables/table736.xml><?xml version="1.0" encoding="utf-8"?>
<table xmlns="http://schemas.openxmlformats.org/spreadsheetml/2006/main" id="736" name="Demolition_92" displayName="Demolition_92" ref="A125:D140" totalsRowShown="0" headerRowDxfId="527" dataDxfId="525" headerRowBorderDxfId="526" tableBorderDxfId="524" headerRowCellStyle="40% - Accent6">
  <autoFilter ref="A125:D140"/>
  <tableColumns count="4">
    <tableColumn id="1" name="Expense" dataDxfId="523"/>
    <tableColumn id="2" name="Description" dataDxfId="522"/>
    <tableColumn id="4" name="Label Name" dataDxfId="521"/>
    <tableColumn id="5" name="Amount" dataDxfId="520" dataCellStyle="40% - Accent6"/>
  </tableColumns>
  <tableStyleInfo name="TableStyleLight18" showFirstColumn="0" showLastColumn="0" showRowStripes="1" showColumnStripes="0"/>
</table>
</file>

<file path=xl/tables/table737.xml><?xml version="1.0" encoding="utf-8"?>
<table xmlns="http://schemas.openxmlformats.org/spreadsheetml/2006/main" id="737" name="Rehab_92" displayName="Rehab_92" ref="A144:D159" totalsRowShown="0" headerRowDxfId="519" dataDxfId="517" headerRowBorderDxfId="518" tableBorderDxfId="516" headerRowCellStyle="40% - Accent6">
  <autoFilter ref="A144:D159"/>
  <tableColumns count="4">
    <tableColumn id="1" name="Expense" dataDxfId="515"/>
    <tableColumn id="2" name="Description" dataDxfId="514"/>
    <tableColumn id="4" name="Label Name" dataDxfId="513"/>
    <tableColumn id="5" name="Amount" dataDxfId="512" dataCellStyle="40% - Accent6"/>
  </tableColumns>
  <tableStyleInfo name="TableStyleLight18" showFirstColumn="0" showLastColumn="0" showRowStripes="1" showColumnStripes="0"/>
</table>
</file>

<file path=xl/tables/table738.xml><?xml version="1.0" encoding="utf-8"?>
<table xmlns="http://schemas.openxmlformats.org/spreadsheetml/2006/main" id="738" name="Grass_93" displayName="Grass_93" ref="A11:D26" totalsRowShown="0" headerRowDxfId="511" dataDxfId="509" headerRowBorderDxfId="510" tableBorderDxfId="508" headerRowCellStyle="40% - Accent6">
  <autoFilter ref="A11:D26"/>
  <tableColumns count="4">
    <tableColumn id="1" name="Expense" dataDxfId="507"/>
    <tableColumn id="2" name="Description" dataDxfId="506"/>
    <tableColumn id="4" name="Label Name" dataDxfId="505"/>
    <tableColumn id="5" name="Amount" dataDxfId="504" dataCellStyle="20% - Accent6"/>
  </tableColumns>
  <tableStyleInfo name="TableStyleLight18" showFirstColumn="0" showLastColumn="0" showRowStripes="1" showColumnStripes="0"/>
</table>
</file>

<file path=xl/tables/table739.xml><?xml version="1.0" encoding="utf-8"?>
<table xmlns="http://schemas.openxmlformats.org/spreadsheetml/2006/main" id="739" name="Tree_93" displayName="Tree_93" ref="A30:D45" totalsRowShown="0" headerRowDxfId="503" dataDxfId="501" headerRowBorderDxfId="502" tableBorderDxfId="500" headerRowCellStyle="40% - Accent6">
  <autoFilter ref="A30:D45"/>
  <tableColumns count="4">
    <tableColumn id="1" name="Expense" dataDxfId="499"/>
    <tableColumn id="2" name="Description" dataDxfId="498"/>
    <tableColumn id="4" name="Label Name" dataDxfId="497"/>
    <tableColumn id="5" name="Amount" dataDxfId="496" dataCellStyle="40% - Accent6"/>
  </tableColumns>
  <tableStyleInfo name="TableStyleLight18" showFirstColumn="0" showLastColumn="0" showRowStripes="1" showColumnStripes="0"/>
</table>
</file>

<file path=xl/tables/table74.xml><?xml version="1.0" encoding="utf-8"?>
<table xmlns="http://schemas.openxmlformats.org/spreadsheetml/2006/main" id="139" name="Grass_10" displayName="Grass_10" ref="A11:D26" totalsRowShown="0" headerRowDxfId="5823" dataDxfId="5821" headerRowBorderDxfId="5822" tableBorderDxfId="5820" headerRowCellStyle="40% - Accent6">
  <autoFilter ref="A11:D26"/>
  <tableColumns count="4">
    <tableColumn id="1" name="Expense" dataDxfId="5819"/>
    <tableColumn id="2" name="Description" dataDxfId="5818"/>
    <tableColumn id="4" name="Label Name" dataDxfId="5817"/>
    <tableColumn id="5" name="Amount" dataDxfId="5816" dataCellStyle="20% - Accent6"/>
  </tableColumns>
  <tableStyleInfo name="TableStyleLight18" showFirstColumn="0" showLastColumn="0" showRowStripes="1" showColumnStripes="0"/>
</table>
</file>

<file path=xl/tables/table740.xml><?xml version="1.0" encoding="utf-8"?>
<table xmlns="http://schemas.openxmlformats.org/spreadsheetml/2006/main" id="740" name="Pest_93" displayName="Pest_93" ref="A49:D64" totalsRowShown="0" headerRowDxfId="495" dataDxfId="493" headerRowBorderDxfId="494" tableBorderDxfId="492" headerRowCellStyle="40% - Accent6">
  <autoFilter ref="A49:D64"/>
  <tableColumns count="4">
    <tableColumn id="1" name="Expense" dataDxfId="491"/>
    <tableColumn id="2" name="Description" dataDxfId="490"/>
    <tableColumn id="4" name="Label Name" dataDxfId="489"/>
    <tableColumn id="5" name="Amount" dataDxfId="488" dataCellStyle="40% - Accent6"/>
  </tableColumns>
  <tableStyleInfo name="TableStyleLight18" showFirstColumn="0" showLastColumn="0" showRowStripes="1" showColumnStripes="0"/>
</table>
</file>

<file path=xl/tables/table741.xml><?xml version="1.0" encoding="utf-8"?>
<table xmlns="http://schemas.openxmlformats.org/spreadsheetml/2006/main" id="741" name="Garbage_93" displayName="Garbage_93" ref="A68:D83" totalsRowShown="0" headerRowDxfId="487" dataDxfId="485" headerRowBorderDxfId="486" tableBorderDxfId="484" headerRowCellStyle="40% - Accent6">
  <autoFilter ref="A68:D83"/>
  <tableColumns count="4">
    <tableColumn id="1" name="Expense" dataDxfId="483"/>
    <tableColumn id="2" name="Description" dataDxfId="482"/>
    <tableColumn id="4" name="Label Name" dataDxfId="481"/>
    <tableColumn id="5" name="Amount" dataDxfId="480" dataCellStyle="20% - Accent6"/>
  </tableColumns>
  <tableStyleInfo name="TableStyleLight18" showFirstColumn="0" showLastColumn="0" showRowStripes="1" showColumnStripes="0"/>
</table>
</file>

<file path=xl/tables/table742.xml><?xml version="1.0" encoding="utf-8"?>
<table xmlns="http://schemas.openxmlformats.org/spreadsheetml/2006/main" id="742" name="Boarding_93" displayName="Boarding_93" ref="A87:D102" totalsRowShown="0" headerRowDxfId="479" dataDxfId="477" headerRowBorderDxfId="478" tableBorderDxfId="476" headerRowCellStyle="40% - Accent6">
  <autoFilter ref="A87:D102"/>
  <tableColumns count="4">
    <tableColumn id="1" name="Expense" dataDxfId="475"/>
    <tableColumn id="2" name="Description" dataDxfId="474"/>
    <tableColumn id="4" name="Label Name" dataDxfId="473"/>
    <tableColumn id="5" name="Amount" dataDxfId="472" dataCellStyle="40% - Accent6"/>
  </tableColumns>
  <tableStyleInfo name="TableStyleLight18" showFirstColumn="0" showLastColumn="0" showRowStripes="1" showColumnStripes="0"/>
</table>
</file>

<file path=xl/tables/table743.xml><?xml version="1.0" encoding="utf-8"?>
<table xmlns="http://schemas.openxmlformats.org/spreadsheetml/2006/main" id="743" name="Fence_93" displayName="Fence_93" ref="A106:D121" totalsRowShown="0" headerRowDxfId="471" dataDxfId="469" headerRowBorderDxfId="470" tableBorderDxfId="468" headerRowCellStyle="40% - Accent6">
  <autoFilter ref="A106:D121"/>
  <tableColumns count="4">
    <tableColumn id="1" name="Expense" dataDxfId="467"/>
    <tableColumn id="2" name="Description" dataDxfId="466"/>
    <tableColumn id="4" name="Label Name" dataDxfId="465"/>
    <tableColumn id="5" name="Amount" dataDxfId="464" dataCellStyle="40% - Accent6"/>
  </tableColumns>
  <tableStyleInfo name="TableStyleLight18" showFirstColumn="0" showLastColumn="0" showRowStripes="1" showColumnStripes="0"/>
</table>
</file>

<file path=xl/tables/table744.xml><?xml version="1.0" encoding="utf-8"?>
<table xmlns="http://schemas.openxmlformats.org/spreadsheetml/2006/main" id="744" name="Demolition_93" displayName="Demolition_93" ref="A125:D140" totalsRowShown="0" headerRowDxfId="463" dataDxfId="461" headerRowBorderDxfId="462" tableBorderDxfId="460" headerRowCellStyle="40% - Accent6">
  <autoFilter ref="A125:D140"/>
  <tableColumns count="4">
    <tableColumn id="1" name="Expense" dataDxfId="459"/>
    <tableColumn id="2" name="Description" dataDxfId="458"/>
    <tableColumn id="4" name="Label Name" dataDxfId="457"/>
    <tableColumn id="5" name="Amount" dataDxfId="456" dataCellStyle="40% - Accent6"/>
  </tableColumns>
  <tableStyleInfo name="TableStyleLight18" showFirstColumn="0" showLastColumn="0" showRowStripes="1" showColumnStripes="0"/>
</table>
</file>

<file path=xl/tables/table745.xml><?xml version="1.0" encoding="utf-8"?>
<table xmlns="http://schemas.openxmlformats.org/spreadsheetml/2006/main" id="745" name="Rehab_93" displayName="Rehab_93" ref="A144:D159" totalsRowShown="0" headerRowDxfId="455" dataDxfId="453" headerRowBorderDxfId="454" tableBorderDxfId="452" headerRowCellStyle="40% - Accent6">
  <autoFilter ref="A144:D159"/>
  <tableColumns count="4">
    <tableColumn id="1" name="Expense" dataDxfId="451"/>
    <tableColumn id="2" name="Description" dataDxfId="450"/>
    <tableColumn id="4" name="Label Name" dataDxfId="449"/>
    <tableColumn id="5" name="Amount" dataDxfId="448" dataCellStyle="40% - Accent6"/>
  </tableColumns>
  <tableStyleInfo name="TableStyleLight18" showFirstColumn="0" showLastColumn="0" showRowStripes="1" showColumnStripes="0"/>
</table>
</file>

<file path=xl/tables/table746.xml><?xml version="1.0" encoding="utf-8"?>
<table xmlns="http://schemas.openxmlformats.org/spreadsheetml/2006/main" id="746" name="Grass_94" displayName="Grass_94" ref="A11:D26" totalsRowShown="0" headerRowDxfId="447" dataDxfId="445" headerRowBorderDxfId="446" tableBorderDxfId="444" headerRowCellStyle="40% - Accent6">
  <autoFilter ref="A11:D26"/>
  <tableColumns count="4">
    <tableColumn id="1" name="Expense" dataDxfId="443"/>
    <tableColumn id="2" name="Description" dataDxfId="442"/>
    <tableColumn id="4" name="Label Name" dataDxfId="441"/>
    <tableColumn id="5" name="Amount" dataDxfId="440" dataCellStyle="20% - Accent6"/>
  </tableColumns>
  <tableStyleInfo name="TableStyleLight18" showFirstColumn="0" showLastColumn="0" showRowStripes="1" showColumnStripes="0"/>
</table>
</file>

<file path=xl/tables/table747.xml><?xml version="1.0" encoding="utf-8"?>
<table xmlns="http://schemas.openxmlformats.org/spreadsheetml/2006/main" id="747" name="Tree_94" displayName="Tree_94" ref="A30:D45" totalsRowShown="0" headerRowDxfId="439" dataDxfId="437" headerRowBorderDxfId="438" tableBorderDxfId="436" headerRowCellStyle="40% - Accent6">
  <autoFilter ref="A30:D45"/>
  <tableColumns count="4">
    <tableColumn id="1" name="Expense" dataDxfId="435"/>
    <tableColumn id="2" name="Description" dataDxfId="434"/>
    <tableColumn id="4" name="Label Name" dataDxfId="433"/>
    <tableColumn id="5" name="Amount" dataDxfId="432" dataCellStyle="40% - Accent6"/>
  </tableColumns>
  <tableStyleInfo name="TableStyleLight18" showFirstColumn="0" showLastColumn="0" showRowStripes="1" showColumnStripes="0"/>
</table>
</file>

<file path=xl/tables/table748.xml><?xml version="1.0" encoding="utf-8"?>
<table xmlns="http://schemas.openxmlformats.org/spreadsheetml/2006/main" id="748" name="Pest_94" displayName="Pest_94" ref="A49:D64" totalsRowShown="0" headerRowDxfId="431" dataDxfId="429" headerRowBorderDxfId="430" tableBorderDxfId="428" headerRowCellStyle="40% - Accent6">
  <autoFilter ref="A49:D64"/>
  <tableColumns count="4">
    <tableColumn id="1" name="Expense" dataDxfId="427"/>
    <tableColumn id="2" name="Description" dataDxfId="426"/>
    <tableColumn id="4" name="Label Name" dataDxfId="425"/>
    <tableColumn id="5" name="Amount" dataDxfId="424" dataCellStyle="40% - Accent6"/>
  </tableColumns>
  <tableStyleInfo name="TableStyleLight18" showFirstColumn="0" showLastColumn="0" showRowStripes="1" showColumnStripes="0"/>
</table>
</file>

<file path=xl/tables/table749.xml><?xml version="1.0" encoding="utf-8"?>
<table xmlns="http://schemas.openxmlformats.org/spreadsheetml/2006/main" id="749" name="Garbage_94" displayName="Garbage_94" ref="A68:D83" totalsRowShown="0" headerRowDxfId="423" dataDxfId="421" headerRowBorderDxfId="422" tableBorderDxfId="420" headerRowCellStyle="40% - Accent6">
  <autoFilter ref="A68:D83"/>
  <tableColumns count="4">
    <tableColumn id="1" name="Expense" dataDxfId="419"/>
    <tableColumn id="2" name="Description" dataDxfId="418"/>
    <tableColumn id="4" name="Label Name" dataDxfId="417"/>
    <tableColumn id="5" name="Amount" dataDxfId="416" dataCellStyle="20% - Accent6"/>
  </tableColumns>
  <tableStyleInfo name="TableStyleLight18" showFirstColumn="0" showLastColumn="0" showRowStripes="1" showColumnStripes="0"/>
</table>
</file>

<file path=xl/tables/table75.xml><?xml version="1.0" encoding="utf-8"?>
<table xmlns="http://schemas.openxmlformats.org/spreadsheetml/2006/main" id="140" name="Tree_10" displayName="Tree_10" ref="A30:D45" totalsRowShown="0" headerRowDxfId="5815" dataDxfId="5813" headerRowBorderDxfId="5814" tableBorderDxfId="5812" headerRowCellStyle="40% - Accent6">
  <autoFilter ref="A30:D45"/>
  <tableColumns count="4">
    <tableColumn id="1" name="Expense" dataDxfId="5811"/>
    <tableColumn id="2" name="Description" dataDxfId="5810"/>
    <tableColumn id="4" name="Label Name" dataDxfId="5809"/>
    <tableColumn id="5" name="Amount" dataDxfId="5808" dataCellStyle="40% - Accent6"/>
  </tableColumns>
  <tableStyleInfo name="TableStyleLight18" showFirstColumn="0" showLastColumn="0" showRowStripes="1" showColumnStripes="0"/>
</table>
</file>

<file path=xl/tables/table750.xml><?xml version="1.0" encoding="utf-8"?>
<table xmlns="http://schemas.openxmlformats.org/spreadsheetml/2006/main" id="750" name="Boarding_94" displayName="Boarding_94" ref="A87:D102" totalsRowShown="0" headerRowDxfId="415" dataDxfId="413" headerRowBorderDxfId="414" tableBorderDxfId="412" headerRowCellStyle="40% - Accent6">
  <autoFilter ref="A87:D102"/>
  <tableColumns count="4">
    <tableColumn id="1" name="Expense" dataDxfId="411"/>
    <tableColumn id="2" name="Description" dataDxfId="410"/>
    <tableColumn id="4" name="Label Name" dataDxfId="409"/>
    <tableColumn id="5" name="Amount" dataDxfId="408" dataCellStyle="40% - Accent6"/>
  </tableColumns>
  <tableStyleInfo name="TableStyleLight18" showFirstColumn="0" showLastColumn="0" showRowStripes="1" showColumnStripes="0"/>
</table>
</file>

<file path=xl/tables/table751.xml><?xml version="1.0" encoding="utf-8"?>
<table xmlns="http://schemas.openxmlformats.org/spreadsheetml/2006/main" id="751" name="Fence_94" displayName="Fence_94" ref="A106:D121" totalsRowShown="0" headerRowDxfId="407" dataDxfId="405" headerRowBorderDxfId="406" tableBorderDxfId="404" headerRowCellStyle="40% - Accent6">
  <autoFilter ref="A106:D121"/>
  <tableColumns count="4">
    <tableColumn id="1" name="Expense" dataDxfId="403"/>
    <tableColumn id="2" name="Description" dataDxfId="402"/>
    <tableColumn id="4" name="Label Name" dataDxfId="401"/>
    <tableColumn id="5" name="Amount" dataDxfId="400" dataCellStyle="40% - Accent6"/>
  </tableColumns>
  <tableStyleInfo name="TableStyleLight18" showFirstColumn="0" showLastColumn="0" showRowStripes="1" showColumnStripes="0"/>
</table>
</file>

<file path=xl/tables/table752.xml><?xml version="1.0" encoding="utf-8"?>
<table xmlns="http://schemas.openxmlformats.org/spreadsheetml/2006/main" id="752" name="Demolition_94" displayName="Demolition_94" ref="A125:D140" totalsRowShown="0" headerRowDxfId="399" dataDxfId="397" headerRowBorderDxfId="398" tableBorderDxfId="396" headerRowCellStyle="40% - Accent6">
  <autoFilter ref="A125:D140"/>
  <tableColumns count="4">
    <tableColumn id="1" name="Expense" dataDxfId="395"/>
    <tableColumn id="2" name="Description" dataDxfId="394"/>
    <tableColumn id="4" name="Label Name" dataDxfId="393"/>
    <tableColumn id="5" name="Amount" dataDxfId="392" dataCellStyle="40% - Accent6"/>
  </tableColumns>
  <tableStyleInfo name="TableStyleLight18" showFirstColumn="0" showLastColumn="0" showRowStripes="1" showColumnStripes="0"/>
</table>
</file>

<file path=xl/tables/table753.xml><?xml version="1.0" encoding="utf-8"?>
<table xmlns="http://schemas.openxmlformats.org/spreadsheetml/2006/main" id="753" name="Rehab_94" displayName="Rehab_94" ref="A144:D159" totalsRowShown="0" headerRowDxfId="391" dataDxfId="389" headerRowBorderDxfId="390" tableBorderDxfId="388" headerRowCellStyle="40% - Accent6">
  <autoFilter ref="A144:D159"/>
  <tableColumns count="4">
    <tableColumn id="1" name="Expense" dataDxfId="387"/>
    <tableColumn id="2" name="Description" dataDxfId="386"/>
    <tableColumn id="4" name="Label Name" dataDxfId="385"/>
    <tableColumn id="5" name="Amount" dataDxfId="384" dataCellStyle="40% - Accent6"/>
  </tableColumns>
  <tableStyleInfo name="TableStyleLight18" showFirstColumn="0" showLastColumn="0" showRowStripes="1" showColumnStripes="0"/>
</table>
</file>

<file path=xl/tables/table754.xml><?xml version="1.0" encoding="utf-8"?>
<table xmlns="http://schemas.openxmlformats.org/spreadsheetml/2006/main" id="754" name="Grass_95" displayName="Grass_95" ref="A11:D26" totalsRowShown="0" headerRowDxfId="383" dataDxfId="381" headerRowBorderDxfId="382" tableBorderDxfId="380" headerRowCellStyle="40% - Accent6">
  <autoFilter ref="A11:D26"/>
  <tableColumns count="4">
    <tableColumn id="1" name="Expense" dataDxfId="379"/>
    <tableColumn id="2" name="Description" dataDxfId="378"/>
    <tableColumn id="4" name="Label Name" dataDxfId="377"/>
    <tableColumn id="5" name="Amount" dataDxfId="376" dataCellStyle="20% - Accent6"/>
  </tableColumns>
  <tableStyleInfo name="TableStyleLight18" showFirstColumn="0" showLastColumn="0" showRowStripes="1" showColumnStripes="0"/>
</table>
</file>

<file path=xl/tables/table755.xml><?xml version="1.0" encoding="utf-8"?>
<table xmlns="http://schemas.openxmlformats.org/spreadsheetml/2006/main" id="755" name="Tree_95" displayName="Tree_95" ref="A30:D45" totalsRowShown="0" headerRowDxfId="375" dataDxfId="373" headerRowBorderDxfId="374" tableBorderDxfId="372" headerRowCellStyle="40% - Accent6">
  <autoFilter ref="A30:D45"/>
  <tableColumns count="4">
    <tableColumn id="1" name="Expense" dataDxfId="371"/>
    <tableColumn id="2" name="Description" dataDxfId="370"/>
    <tableColumn id="4" name="Label Name" dataDxfId="369"/>
    <tableColumn id="5" name="Amount" dataDxfId="368" dataCellStyle="40% - Accent6"/>
  </tableColumns>
  <tableStyleInfo name="TableStyleLight18" showFirstColumn="0" showLastColumn="0" showRowStripes="1" showColumnStripes="0"/>
</table>
</file>

<file path=xl/tables/table756.xml><?xml version="1.0" encoding="utf-8"?>
<table xmlns="http://schemas.openxmlformats.org/spreadsheetml/2006/main" id="756" name="Pest_95" displayName="Pest_95" ref="A49:D64" totalsRowShown="0" headerRowDxfId="367" dataDxfId="365" headerRowBorderDxfId="366" tableBorderDxfId="364" headerRowCellStyle="40% - Accent6">
  <autoFilter ref="A49:D64"/>
  <tableColumns count="4">
    <tableColumn id="1" name="Expense" dataDxfId="363"/>
    <tableColumn id="2" name="Description" dataDxfId="362"/>
    <tableColumn id="4" name="Label Name" dataDxfId="361"/>
    <tableColumn id="5" name="Amount" dataDxfId="360" dataCellStyle="40% - Accent6"/>
  </tableColumns>
  <tableStyleInfo name="TableStyleLight18" showFirstColumn="0" showLastColumn="0" showRowStripes="1" showColumnStripes="0"/>
</table>
</file>

<file path=xl/tables/table757.xml><?xml version="1.0" encoding="utf-8"?>
<table xmlns="http://schemas.openxmlformats.org/spreadsheetml/2006/main" id="757" name="Garbage_95" displayName="Garbage_95" ref="A68:D83" totalsRowShown="0" headerRowDxfId="359" dataDxfId="357" headerRowBorderDxfId="358" tableBorderDxfId="356" headerRowCellStyle="40% - Accent6">
  <autoFilter ref="A68:D83"/>
  <tableColumns count="4">
    <tableColumn id="1" name="Expense" dataDxfId="355"/>
    <tableColumn id="2" name="Description" dataDxfId="354"/>
    <tableColumn id="4" name="Label Name" dataDxfId="353"/>
    <tableColumn id="5" name="Amount" dataDxfId="352" dataCellStyle="20% - Accent6"/>
  </tableColumns>
  <tableStyleInfo name="TableStyleLight18" showFirstColumn="0" showLastColumn="0" showRowStripes="1" showColumnStripes="0"/>
</table>
</file>

<file path=xl/tables/table758.xml><?xml version="1.0" encoding="utf-8"?>
<table xmlns="http://schemas.openxmlformats.org/spreadsheetml/2006/main" id="758" name="Boarding_95" displayName="Boarding_95" ref="A87:D102" totalsRowShown="0" headerRowDxfId="351" dataDxfId="349" headerRowBorderDxfId="350" tableBorderDxfId="348" headerRowCellStyle="40% - Accent6">
  <autoFilter ref="A87:D102"/>
  <tableColumns count="4">
    <tableColumn id="1" name="Expense" dataDxfId="347"/>
    <tableColumn id="2" name="Description" dataDxfId="346"/>
    <tableColumn id="4" name="Label Name" dataDxfId="345"/>
    <tableColumn id="5" name="Amount" dataDxfId="344" dataCellStyle="40% - Accent6"/>
  </tableColumns>
  <tableStyleInfo name="TableStyleLight18" showFirstColumn="0" showLastColumn="0" showRowStripes="1" showColumnStripes="0"/>
</table>
</file>

<file path=xl/tables/table759.xml><?xml version="1.0" encoding="utf-8"?>
<table xmlns="http://schemas.openxmlformats.org/spreadsheetml/2006/main" id="759" name="Fence_95" displayName="Fence_95" ref="A106:D121" totalsRowShown="0" headerRowDxfId="343" dataDxfId="341" headerRowBorderDxfId="342" tableBorderDxfId="340" headerRowCellStyle="40% - Accent6">
  <autoFilter ref="A106:D121"/>
  <tableColumns count="4">
    <tableColumn id="1" name="Expense" dataDxfId="339"/>
    <tableColumn id="2" name="Description" dataDxfId="338"/>
    <tableColumn id="4" name="Label Name" dataDxfId="337"/>
    <tableColumn id="5" name="Amount" dataDxfId="336" dataCellStyle="40% - Accent6"/>
  </tableColumns>
  <tableStyleInfo name="TableStyleLight18" showFirstColumn="0" showLastColumn="0" showRowStripes="1" showColumnStripes="0"/>
</table>
</file>

<file path=xl/tables/table76.xml><?xml version="1.0" encoding="utf-8"?>
<table xmlns="http://schemas.openxmlformats.org/spreadsheetml/2006/main" id="141" name="Pest_10" displayName="Pest_10" ref="A49:D64" totalsRowShown="0" headerRowDxfId="5807" dataDxfId="5805" headerRowBorderDxfId="5806" tableBorderDxfId="5804" headerRowCellStyle="40% - Accent6">
  <autoFilter ref="A49:D64"/>
  <tableColumns count="4">
    <tableColumn id="1" name="Expense" dataDxfId="5803"/>
    <tableColumn id="2" name="Description" dataDxfId="5802"/>
    <tableColumn id="4" name="Label Name" dataDxfId="5801"/>
    <tableColumn id="5" name="Amount" dataDxfId="5800" dataCellStyle="40% - Accent6"/>
  </tableColumns>
  <tableStyleInfo name="TableStyleLight18" showFirstColumn="0" showLastColumn="0" showRowStripes="1" showColumnStripes="0"/>
</table>
</file>

<file path=xl/tables/table760.xml><?xml version="1.0" encoding="utf-8"?>
<table xmlns="http://schemas.openxmlformats.org/spreadsheetml/2006/main" id="760" name="Demolition_95" displayName="Demolition_95" ref="A125:D140" totalsRowShown="0" headerRowDxfId="335" dataDxfId="333" headerRowBorderDxfId="334" tableBorderDxfId="332" headerRowCellStyle="40% - Accent6">
  <autoFilter ref="A125:D140"/>
  <tableColumns count="4">
    <tableColumn id="1" name="Expense" dataDxfId="331"/>
    <tableColumn id="2" name="Description" dataDxfId="330"/>
    <tableColumn id="4" name="Label Name" dataDxfId="329"/>
    <tableColumn id="5" name="Amount" dataDxfId="328" dataCellStyle="40% - Accent6"/>
  </tableColumns>
  <tableStyleInfo name="TableStyleLight18" showFirstColumn="0" showLastColumn="0" showRowStripes="1" showColumnStripes="0"/>
</table>
</file>

<file path=xl/tables/table761.xml><?xml version="1.0" encoding="utf-8"?>
<table xmlns="http://schemas.openxmlformats.org/spreadsheetml/2006/main" id="761" name="Rehab_95" displayName="Rehab_95" ref="A144:D159" totalsRowShown="0" headerRowDxfId="327" dataDxfId="325" headerRowBorderDxfId="326" tableBorderDxfId="324" headerRowCellStyle="40% - Accent6">
  <autoFilter ref="A144:D159"/>
  <tableColumns count="4">
    <tableColumn id="1" name="Expense" dataDxfId="323"/>
    <tableColumn id="2" name="Description" dataDxfId="322"/>
    <tableColumn id="4" name="Label Name" dataDxfId="321"/>
    <tableColumn id="5" name="Amount" dataDxfId="320" dataCellStyle="40% - Accent6"/>
  </tableColumns>
  <tableStyleInfo name="TableStyleLight18" showFirstColumn="0" showLastColumn="0" showRowStripes="1" showColumnStripes="0"/>
</table>
</file>

<file path=xl/tables/table762.xml><?xml version="1.0" encoding="utf-8"?>
<table xmlns="http://schemas.openxmlformats.org/spreadsheetml/2006/main" id="762" name="Grass_96" displayName="Grass_96" ref="A11:D26" totalsRowShown="0" headerRowDxfId="319" dataDxfId="317" headerRowBorderDxfId="318" tableBorderDxfId="316" headerRowCellStyle="40% - Accent6">
  <autoFilter ref="A11:D26"/>
  <tableColumns count="4">
    <tableColumn id="1" name="Expense" dataDxfId="315"/>
    <tableColumn id="2" name="Description" dataDxfId="314"/>
    <tableColumn id="4" name="Label Name" dataDxfId="313"/>
    <tableColumn id="5" name="Amount" dataDxfId="312" dataCellStyle="20% - Accent6"/>
  </tableColumns>
  <tableStyleInfo name="TableStyleLight18" showFirstColumn="0" showLastColumn="0" showRowStripes="1" showColumnStripes="0"/>
</table>
</file>

<file path=xl/tables/table763.xml><?xml version="1.0" encoding="utf-8"?>
<table xmlns="http://schemas.openxmlformats.org/spreadsheetml/2006/main" id="763" name="Tree_96" displayName="Tree_96" ref="A30:D45" totalsRowShown="0" headerRowDxfId="311" dataDxfId="309" headerRowBorderDxfId="310" tableBorderDxfId="308" headerRowCellStyle="40% - Accent6">
  <autoFilter ref="A30:D45"/>
  <tableColumns count="4">
    <tableColumn id="1" name="Expense" dataDxfId="307"/>
    <tableColumn id="2" name="Description" dataDxfId="306"/>
    <tableColumn id="4" name="Label Name" dataDxfId="305"/>
    <tableColumn id="5" name="Amount" dataDxfId="304" dataCellStyle="40% - Accent6"/>
  </tableColumns>
  <tableStyleInfo name="TableStyleLight18" showFirstColumn="0" showLastColumn="0" showRowStripes="1" showColumnStripes="0"/>
</table>
</file>

<file path=xl/tables/table764.xml><?xml version="1.0" encoding="utf-8"?>
<table xmlns="http://schemas.openxmlformats.org/spreadsheetml/2006/main" id="764" name="Pest_96" displayName="Pest_96" ref="A49:D64" totalsRowShown="0" headerRowDxfId="303" dataDxfId="301" headerRowBorderDxfId="302" tableBorderDxfId="300" headerRowCellStyle="40% - Accent6">
  <autoFilter ref="A49:D64"/>
  <tableColumns count="4">
    <tableColumn id="1" name="Expense" dataDxfId="299"/>
    <tableColumn id="2" name="Description" dataDxfId="298"/>
    <tableColumn id="4" name="Label Name" dataDxfId="297"/>
    <tableColumn id="5" name="Amount" dataDxfId="296" dataCellStyle="40% - Accent6"/>
  </tableColumns>
  <tableStyleInfo name="TableStyleLight18" showFirstColumn="0" showLastColumn="0" showRowStripes="1" showColumnStripes="0"/>
</table>
</file>

<file path=xl/tables/table765.xml><?xml version="1.0" encoding="utf-8"?>
<table xmlns="http://schemas.openxmlformats.org/spreadsheetml/2006/main" id="765" name="Garbage_96" displayName="Garbage_96" ref="A68:D83" totalsRowShown="0" headerRowDxfId="295" dataDxfId="293" headerRowBorderDxfId="294" tableBorderDxfId="292" headerRowCellStyle="40% - Accent6">
  <autoFilter ref="A68:D83"/>
  <tableColumns count="4">
    <tableColumn id="1" name="Expense" dataDxfId="291"/>
    <tableColumn id="2" name="Description" dataDxfId="290"/>
    <tableColumn id="4" name="Label Name" dataDxfId="289"/>
    <tableColumn id="5" name="Amount" dataDxfId="288" dataCellStyle="20% - Accent6"/>
  </tableColumns>
  <tableStyleInfo name="TableStyleLight18" showFirstColumn="0" showLastColumn="0" showRowStripes="1" showColumnStripes="0"/>
</table>
</file>

<file path=xl/tables/table766.xml><?xml version="1.0" encoding="utf-8"?>
<table xmlns="http://schemas.openxmlformats.org/spreadsheetml/2006/main" id="766" name="Boarding_96" displayName="Boarding_96" ref="A87:D102" totalsRowShown="0" headerRowDxfId="287" dataDxfId="285" headerRowBorderDxfId="286" tableBorderDxfId="284" headerRowCellStyle="40% - Accent6">
  <autoFilter ref="A87:D102"/>
  <tableColumns count="4">
    <tableColumn id="1" name="Expense" dataDxfId="283"/>
    <tableColumn id="2" name="Description" dataDxfId="282"/>
    <tableColumn id="4" name="Label Name" dataDxfId="281"/>
    <tableColumn id="5" name="Amount" dataDxfId="280" dataCellStyle="40% - Accent6"/>
  </tableColumns>
  <tableStyleInfo name="TableStyleLight18" showFirstColumn="0" showLastColumn="0" showRowStripes="1" showColumnStripes="0"/>
</table>
</file>

<file path=xl/tables/table767.xml><?xml version="1.0" encoding="utf-8"?>
<table xmlns="http://schemas.openxmlformats.org/spreadsheetml/2006/main" id="767" name="Fence_96" displayName="Fence_96" ref="A106:D121" totalsRowShown="0" headerRowDxfId="279" dataDxfId="277" headerRowBorderDxfId="278" tableBorderDxfId="276" headerRowCellStyle="40% - Accent6">
  <autoFilter ref="A106:D121"/>
  <tableColumns count="4">
    <tableColumn id="1" name="Expense" dataDxfId="275"/>
    <tableColumn id="2" name="Description" dataDxfId="274"/>
    <tableColumn id="4" name="Label Name" dataDxfId="273"/>
    <tableColumn id="5" name="Amount" dataDxfId="272" dataCellStyle="40% - Accent6"/>
  </tableColumns>
  <tableStyleInfo name="TableStyleLight18" showFirstColumn="0" showLastColumn="0" showRowStripes="1" showColumnStripes="0"/>
</table>
</file>

<file path=xl/tables/table768.xml><?xml version="1.0" encoding="utf-8"?>
<table xmlns="http://schemas.openxmlformats.org/spreadsheetml/2006/main" id="768" name="Demolition_96" displayName="Demolition_96" ref="A125:D140" totalsRowShown="0" headerRowDxfId="271" dataDxfId="269" headerRowBorderDxfId="270" tableBorderDxfId="268" headerRowCellStyle="40% - Accent6">
  <autoFilter ref="A125:D140"/>
  <tableColumns count="4">
    <tableColumn id="1" name="Expense" dataDxfId="267"/>
    <tableColumn id="2" name="Description" dataDxfId="266"/>
    <tableColumn id="4" name="Label Name" dataDxfId="265"/>
    <tableColumn id="5" name="Amount" dataDxfId="264" dataCellStyle="40% - Accent6"/>
  </tableColumns>
  <tableStyleInfo name="TableStyleLight18" showFirstColumn="0" showLastColumn="0" showRowStripes="1" showColumnStripes="0"/>
</table>
</file>

<file path=xl/tables/table769.xml><?xml version="1.0" encoding="utf-8"?>
<table xmlns="http://schemas.openxmlformats.org/spreadsheetml/2006/main" id="769" name="Rehab_96" displayName="Rehab_96" ref="A144:D159" totalsRowShown="0" headerRowDxfId="263" dataDxfId="261" headerRowBorderDxfId="262" tableBorderDxfId="260" headerRowCellStyle="40% - Accent6">
  <autoFilter ref="A144:D159"/>
  <tableColumns count="4">
    <tableColumn id="1" name="Expense" dataDxfId="259"/>
    <tableColumn id="2" name="Description" dataDxfId="258"/>
    <tableColumn id="4" name="Label Name" dataDxfId="257"/>
    <tableColumn id="5" name="Amount" dataDxfId="256" dataCellStyle="40% - Accent6"/>
  </tableColumns>
  <tableStyleInfo name="TableStyleLight18" showFirstColumn="0" showLastColumn="0" showRowStripes="1" showColumnStripes="0"/>
</table>
</file>

<file path=xl/tables/table77.xml><?xml version="1.0" encoding="utf-8"?>
<table xmlns="http://schemas.openxmlformats.org/spreadsheetml/2006/main" id="142" name="Garbage_10" displayName="Garbage_10" ref="A68:D83" totalsRowShown="0" headerRowDxfId="5799" dataDxfId="5797" headerRowBorderDxfId="5798" tableBorderDxfId="5796" headerRowCellStyle="40% - Accent6">
  <autoFilter ref="A68:D83"/>
  <tableColumns count="4">
    <tableColumn id="1" name="Expense" dataDxfId="5795"/>
    <tableColumn id="2" name="Description" dataDxfId="5794"/>
    <tableColumn id="4" name="Label Name" dataDxfId="5793"/>
    <tableColumn id="5" name="Amount" dataDxfId="5792" dataCellStyle="20% - Accent6"/>
  </tableColumns>
  <tableStyleInfo name="TableStyleLight18" showFirstColumn="0" showLastColumn="0" showRowStripes="1" showColumnStripes="0"/>
</table>
</file>

<file path=xl/tables/table770.xml><?xml version="1.0" encoding="utf-8"?>
<table xmlns="http://schemas.openxmlformats.org/spreadsheetml/2006/main" id="770" name="Grass_97" displayName="Grass_97" ref="A11:D26" totalsRowShown="0" headerRowDxfId="255" dataDxfId="253" headerRowBorderDxfId="254" tableBorderDxfId="252" headerRowCellStyle="40% - Accent6">
  <autoFilter ref="A11:D26"/>
  <tableColumns count="4">
    <tableColumn id="1" name="Expense" dataDxfId="251"/>
    <tableColumn id="2" name="Description" dataDxfId="250"/>
    <tableColumn id="4" name="Label Name" dataDxfId="249"/>
    <tableColumn id="5" name="Amount" dataDxfId="248" dataCellStyle="20% - Accent6"/>
  </tableColumns>
  <tableStyleInfo name="TableStyleLight18" showFirstColumn="0" showLastColumn="0" showRowStripes="1" showColumnStripes="0"/>
</table>
</file>

<file path=xl/tables/table771.xml><?xml version="1.0" encoding="utf-8"?>
<table xmlns="http://schemas.openxmlformats.org/spreadsheetml/2006/main" id="771" name="Tree_97" displayName="Tree_97" ref="A30:D45" totalsRowShown="0" headerRowDxfId="247" dataDxfId="245" headerRowBorderDxfId="246" tableBorderDxfId="244" headerRowCellStyle="40% - Accent6">
  <autoFilter ref="A30:D45"/>
  <tableColumns count="4">
    <tableColumn id="1" name="Expense" dataDxfId="243"/>
    <tableColumn id="2" name="Description" dataDxfId="242"/>
    <tableColumn id="4" name="Label Name" dataDxfId="241"/>
    <tableColumn id="5" name="Amount" dataDxfId="240" dataCellStyle="40% - Accent6"/>
  </tableColumns>
  <tableStyleInfo name="TableStyleLight18" showFirstColumn="0" showLastColumn="0" showRowStripes="1" showColumnStripes="0"/>
</table>
</file>

<file path=xl/tables/table772.xml><?xml version="1.0" encoding="utf-8"?>
<table xmlns="http://schemas.openxmlformats.org/spreadsheetml/2006/main" id="772" name="Pest_97" displayName="Pest_97" ref="A49:D64" totalsRowShown="0" headerRowDxfId="239" dataDxfId="237" headerRowBorderDxfId="238" tableBorderDxfId="236" headerRowCellStyle="40% - Accent6">
  <autoFilter ref="A49:D64"/>
  <tableColumns count="4">
    <tableColumn id="1" name="Expense" dataDxfId="235"/>
    <tableColumn id="2" name="Description" dataDxfId="234"/>
    <tableColumn id="4" name="Label Name" dataDxfId="233"/>
    <tableColumn id="5" name="Amount" dataDxfId="232" dataCellStyle="40% - Accent6"/>
  </tableColumns>
  <tableStyleInfo name="TableStyleLight18" showFirstColumn="0" showLastColumn="0" showRowStripes="1" showColumnStripes="0"/>
</table>
</file>

<file path=xl/tables/table773.xml><?xml version="1.0" encoding="utf-8"?>
<table xmlns="http://schemas.openxmlformats.org/spreadsheetml/2006/main" id="773" name="Garbage_97" displayName="Garbage_97" ref="A68:D83" totalsRowShown="0" headerRowDxfId="231" dataDxfId="229" headerRowBorderDxfId="230" tableBorderDxfId="228" headerRowCellStyle="40% - Accent6">
  <autoFilter ref="A68:D83"/>
  <tableColumns count="4">
    <tableColumn id="1" name="Expense" dataDxfId="227"/>
    <tableColumn id="2" name="Description" dataDxfId="226"/>
    <tableColumn id="4" name="Label Name" dataDxfId="225"/>
    <tableColumn id="5" name="Amount" dataDxfId="224" dataCellStyle="20% - Accent6"/>
  </tableColumns>
  <tableStyleInfo name="TableStyleLight18" showFirstColumn="0" showLastColumn="0" showRowStripes="1" showColumnStripes="0"/>
</table>
</file>

<file path=xl/tables/table774.xml><?xml version="1.0" encoding="utf-8"?>
<table xmlns="http://schemas.openxmlformats.org/spreadsheetml/2006/main" id="774" name="Boarding_97" displayName="Boarding_97" ref="A87:D102" totalsRowShown="0" headerRowDxfId="223" dataDxfId="221" headerRowBorderDxfId="222" tableBorderDxfId="220" headerRowCellStyle="40% - Accent6">
  <autoFilter ref="A87:D102"/>
  <tableColumns count="4">
    <tableColumn id="1" name="Expense" dataDxfId="219"/>
    <tableColumn id="2" name="Description" dataDxfId="218"/>
    <tableColumn id="4" name="Label Name" dataDxfId="217"/>
    <tableColumn id="5" name="Amount" dataDxfId="216" dataCellStyle="40% - Accent6"/>
  </tableColumns>
  <tableStyleInfo name="TableStyleLight18" showFirstColumn="0" showLastColumn="0" showRowStripes="1" showColumnStripes="0"/>
</table>
</file>

<file path=xl/tables/table775.xml><?xml version="1.0" encoding="utf-8"?>
<table xmlns="http://schemas.openxmlformats.org/spreadsheetml/2006/main" id="775" name="Fence_97" displayName="Fence_97" ref="A106:D121" totalsRowShown="0" headerRowDxfId="215" dataDxfId="213" headerRowBorderDxfId="214" tableBorderDxfId="212" headerRowCellStyle="40% - Accent6">
  <autoFilter ref="A106:D121"/>
  <tableColumns count="4">
    <tableColumn id="1" name="Expense" dataDxfId="211"/>
    <tableColumn id="2" name="Description" dataDxfId="210"/>
    <tableColumn id="4" name="Label Name" dataDxfId="209"/>
    <tableColumn id="5" name="Amount" dataDxfId="208" dataCellStyle="40% - Accent6"/>
  </tableColumns>
  <tableStyleInfo name="TableStyleLight18" showFirstColumn="0" showLastColumn="0" showRowStripes="1" showColumnStripes="0"/>
</table>
</file>

<file path=xl/tables/table776.xml><?xml version="1.0" encoding="utf-8"?>
<table xmlns="http://schemas.openxmlformats.org/spreadsheetml/2006/main" id="776" name="Demolition_97" displayName="Demolition_97" ref="A125:D140" totalsRowShown="0" headerRowDxfId="207" dataDxfId="205" headerRowBorderDxfId="206" tableBorderDxfId="204" headerRowCellStyle="40% - Accent6">
  <autoFilter ref="A125:D140"/>
  <tableColumns count="4">
    <tableColumn id="1" name="Expense" dataDxfId="203"/>
    <tableColumn id="2" name="Description" dataDxfId="202"/>
    <tableColumn id="4" name="Label Name" dataDxfId="201"/>
    <tableColumn id="5" name="Amount" dataDxfId="200" dataCellStyle="40% - Accent6"/>
  </tableColumns>
  <tableStyleInfo name="TableStyleLight18" showFirstColumn="0" showLastColumn="0" showRowStripes="1" showColumnStripes="0"/>
</table>
</file>

<file path=xl/tables/table777.xml><?xml version="1.0" encoding="utf-8"?>
<table xmlns="http://schemas.openxmlformats.org/spreadsheetml/2006/main" id="777" name="Rehab_97" displayName="Rehab_97" ref="A144:D159" totalsRowShown="0" headerRowDxfId="199" dataDxfId="197" headerRowBorderDxfId="198" tableBorderDxfId="196" headerRowCellStyle="40% - Accent6">
  <autoFilter ref="A144:D159"/>
  <tableColumns count="4">
    <tableColumn id="1" name="Expense" dataDxfId="195"/>
    <tableColumn id="2" name="Description" dataDxfId="194"/>
    <tableColumn id="4" name="Label Name" dataDxfId="193"/>
    <tableColumn id="5" name="Amount" dataDxfId="192" dataCellStyle="40% - Accent6"/>
  </tableColumns>
  <tableStyleInfo name="TableStyleLight18" showFirstColumn="0" showLastColumn="0" showRowStripes="1" showColumnStripes="0"/>
</table>
</file>

<file path=xl/tables/table778.xml><?xml version="1.0" encoding="utf-8"?>
<table xmlns="http://schemas.openxmlformats.org/spreadsheetml/2006/main" id="786" name="Grass_98" displayName="Grass_98" ref="A11:D26" totalsRowShown="0" headerRowDxfId="191" dataDxfId="189" headerRowBorderDxfId="190" tableBorderDxfId="188" headerRowCellStyle="40% - Accent6">
  <autoFilter ref="A11:D26"/>
  <tableColumns count="4">
    <tableColumn id="1" name="Expense" dataDxfId="187"/>
    <tableColumn id="2" name="Description" dataDxfId="186"/>
    <tableColumn id="4" name="Label Name" dataDxfId="185"/>
    <tableColumn id="5" name="Amount" dataDxfId="184" dataCellStyle="20% - Accent6"/>
  </tableColumns>
  <tableStyleInfo name="TableStyleLight18" showFirstColumn="0" showLastColumn="0" showRowStripes="1" showColumnStripes="0"/>
</table>
</file>

<file path=xl/tables/table779.xml><?xml version="1.0" encoding="utf-8"?>
<table xmlns="http://schemas.openxmlformats.org/spreadsheetml/2006/main" id="787" name="Tree_98" displayName="Tree_98" ref="A30:D45" totalsRowShown="0" headerRowDxfId="183" dataDxfId="181" headerRowBorderDxfId="182" tableBorderDxfId="180" headerRowCellStyle="40% - Accent6">
  <autoFilter ref="A30:D45"/>
  <tableColumns count="4">
    <tableColumn id="1" name="Expense" dataDxfId="179"/>
    <tableColumn id="2" name="Description" dataDxfId="178"/>
    <tableColumn id="4" name="Label Name" dataDxfId="177"/>
    <tableColumn id="5" name="Amount" dataDxfId="176" dataCellStyle="40% - Accent6"/>
  </tableColumns>
  <tableStyleInfo name="TableStyleLight18" showFirstColumn="0" showLastColumn="0" showRowStripes="1" showColumnStripes="0"/>
</table>
</file>

<file path=xl/tables/table78.xml><?xml version="1.0" encoding="utf-8"?>
<table xmlns="http://schemas.openxmlformats.org/spreadsheetml/2006/main" id="143" name="Boarding_10" displayName="Boarding_10" ref="A87:D102" totalsRowShown="0" headerRowDxfId="5791" dataDxfId="5789" headerRowBorderDxfId="5790" tableBorderDxfId="5788" headerRowCellStyle="40% - Accent6">
  <autoFilter ref="A87:D102"/>
  <tableColumns count="4">
    <tableColumn id="1" name="Expense" dataDxfId="5787"/>
    <tableColumn id="2" name="Description" dataDxfId="5786"/>
    <tableColumn id="4" name="Label Name" dataDxfId="5785"/>
    <tableColumn id="5" name="Amount" dataDxfId="5784" dataCellStyle="40% - Accent6"/>
  </tableColumns>
  <tableStyleInfo name="TableStyleLight18" showFirstColumn="0" showLastColumn="0" showRowStripes="1" showColumnStripes="0"/>
</table>
</file>

<file path=xl/tables/table780.xml><?xml version="1.0" encoding="utf-8"?>
<table xmlns="http://schemas.openxmlformats.org/spreadsheetml/2006/main" id="788" name="Pest_98" displayName="Pest_98" ref="A49:D64" totalsRowShown="0" headerRowDxfId="175" dataDxfId="173" headerRowBorderDxfId="174" tableBorderDxfId="172" headerRowCellStyle="40% - Accent6">
  <autoFilter ref="A49:D64"/>
  <tableColumns count="4">
    <tableColumn id="1" name="Expense" dataDxfId="171"/>
    <tableColumn id="2" name="Description" dataDxfId="170"/>
    <tableColumn id="4" name="Label Name" dataDxfId="169"/>
    <tableColumn id="5" name="Amount" dataDxfId="168" dataCellStyle="40% - Accent6"/>
  </tableColumns>
  <tableStyleInfo name="TableStyleLight18" showFirstColumn="0" showLastColumn="0" showRowStripes="1" showColumnStripes="0"/>
</table>
</file>

<file path=xl/tables/table781.xml><?xml version="1.0" encoding="utf-8"?>
<table xmlns="http://schemas.openxmlformats.org/spreadsheetml/2006/main" id="789" name="Garbage_98" displayName="Garbage_98" ref="A68:D83" totalsRowShown="0" headerRowDxfId="167" dataDxfId="165" headerRowBorderDxfId="166" tableBorderDxfId="164" headerRowCellStyle="40% - Accent6">
  <autoFilter ref="A68:D83"/>
  <tableColumns count="4">
    <tableColumn id="1" name="Expense" dataDxfId="163"/>
    <tableColumn id="2" name="Description" dataDxfId="162"/>
    <tableColumn id="4" name="Label Name" dataDxfId="161"/>
    <tableColumn id="5" name="Amount" dataDxfId="160" dataCellStyle="20% - Accent6"/>
  </tableColumns>
  <tableStyleInfo name="TableStyleLight18" showFirstColumn="0" showLastColumn="0" showRowStripes="1" showColumnStripes="0"/>
</table>
</file>

<file path=xl/tables/table782.xml><?xml version="1.0" encoding="utf-8"?>
<table xmlns="http://schemas.openxmlformats.org/spreadsheetml/2006/main" id="790" name="Boarding_98" displayName="Boarding_98" ref="A87:D102" totalsRowShown="0" headerRowDxfId="159" dataDxfId="157" headerRowBorderDxfId="158" tableBorderDxfId="156" headerRowCellStyle="40% - Accent6">
  <autoFilter ref="A87:D102"/>
  <tableColumns count="4">
    <tableColumn id="1" name="Expense" dataDxfId="155"/>
    <tableColumn id="2" name="Description" dataDxfId="154"/>
    <tableColumn id="4" name="Label Name" dataDxfId="153"/>
    <tableColumn id="5" name="Amount" dataDxfId="152" dataCellStyle="40% - Accent6"/>
  </tableColumns>
  <tableStyleInfo name="TableStyleLight18" showFirstColumn="0" showLastColumn="0" showRowStripes="1" showColumnStripes="0"/>
</table>
</file>

<file path=xl/tables/table783.xml><?xml version="1.0" encoding="utf-8"?>
<table xmlns="http://schemas.openxmlformats.org/spreadsheetml/2006/main" id="791" name="Fence_98" displayName="Fence_98" ref="A106:D121" totalsRowShown="0" headerRowDxfId="151" dataDxfId="149" headerRowBorderDxfId="150" tableBorderDxfId="148" headerRowCellStyle="40% - Accent6">
  <autoFilter ref="A106:D121"/>
  <tableColumns count="4">
    <tableColumn id="1" name="Expense" dataDxfId="147"/>
    <tableColumn id="2" name="Description" dataDxfId="146"/>
    <tableColumn id="4" name="Label Name" dataDxfId="145"/>
    <tableColumn id="5" name="Amount" dataDxfId="144" dataCellStyle="40% - Accent6"/>
  </tableColumns>
  <tableStyleInfo name="TableStyleLight18" showFirstColumn="0" showLastColumn="0" showRowStripes="1" showColumnStripes="0"/>
</table>
</file>

<file path=xl/tables/table784.xml><?xml version="1.0" encoding="utf-8"?>
<table xmlns="http://schemas.openxmlformats.org/spreadsheetml/2006/main" id="792" name="Demolition_98" displayName="Demolition_98" ref="A125:D140" totalsRowShown="0" headerRowDxfId="143" dataDxfId="141" headerRowBorderDxfId="142" tableBorderDxfId="140" headerRowCellStyle="40% - Accent6">
  <autoFilter ref="A125:D140"/>
  <tableColumns count="4">
    <tableColumn id="1" name="Expense" dataDxfId="139"/>
    <tableColumn id="2" name="Description" dataDxfId="138"/>
    <tableColumn id="4" name="Label Name" dataDxfId="137"/>
    <tableColumn id="5" name="Amount" dataDxfId="136" dataCellStyle="40% - Accent6"/>
  </tableColumns>
  <tableStyleInfo name="TableStyleLight18" showFirstColumn="0" showLastColumn="0" showRowStripes="1" showColumnStripes="0"/>
</table>
</file>

<file path=xl/tables/table785.xml><?xml version="1.0" encoding="utf-8"?>
<table xmlns="http://schemas.openxmlformats.org/spreadsheetml/2006/main" id="793" name="Rehab_98" displayName="Rehab_98" ref="A144:D159" totalsRowShown="0" headerRowDxfId="135" dataDxfId="133" headerRowBorderDxfId="134" tableBorderDxfId="132" headerRowCellStyle="40% - Accent6">
  <autoFilter ref="A144:D159"/>
  <tableColumns count="4">
    <tableColumn id="1" name="Expense" dataDxfId="131"/>
    <tableColumn id="2" name="Description" dataDxfId="130"/>
    <tableColumn id="4" name="Label Name" dataDxfId="129"/>
    <tableColumn id="5" name="Amount" dataDxfId="128" dataCellStyle="40% - Accent6"/>
  </tableColumns>
  <tableStyleInfo name="TableStyleLight18" showFirstColumn="0" showLastColumn="0" showRowStripes="1" showColumnStripes="0"/>
</table>
</file>

<file path=xl/tables/table786.xml><?xml version="1.0" encoding="utf-8"?>
<table xmlns="http://schemas.openxmlformats.org/spreadsheetml/2006/main" id="794" name="Grass_99" displayName="Grass_99" ref="A11:D26" totalsRowShown="0" headerRowDxfId="127" dataDxfId="125" headerRowBorderDxfId="126" tableBorderDxfId="124" headerRowCellStyle="40% - Accent6">
  <autoFilter ref="A11:D26"/>
  <tableColumns count="4">
    <tableColumn id="1" name="Expense" dataDxfId="123"/>
    <tableColumn id="2" name="Description" dataDxfId="122"/>
    <tableColumn id="4" name="Label Name" dataDxfId="121"/>
    <tableColumn id="5" name="Amount" dataDxfId="120" dataCellStyle="20% - Accent6"/>
  </tableColumns>
  <tableStyleInfo name="TableStyleLight18" showFirstColumn="0" showLastColumn="0" showRowStripes="1" showColumnStripes="0"/>
</table>
</file>

<file path=xl/tables/table787.xml><?xml version="1.0" encoding="utf-8"?>
<table xmlns="http://schemas.openxmlformats.org/spreadsheetml/2006/main" id="795" name="Tree_99" displayName="Tree_99" ref="A30:D45" totalsRowShown="0" headerRowDxfId="119" dataDxfId="117" headerRowBorderDxfId="118" tableBorderDxfId="116" headerRowCellStyle="40% - Accent6">
  <autoFilter ref="A30:D45"/>
  <tableColumns count="4">
    <tableColumn id="1" name="Expense" dataDxfId="115"/>
    <tableColumn id="2" name="Description" dataDxfId="114"/>
    <tableColumn id="4" name="Label Name" dataDxfId="113"/>
    <tableColumn id="5" name="Amount" dataDxfId="112" dataCellStyle="40% - Accent6"/>
  </tableColumns>
  <tableStyleInfo name="TableStyleLight18" showFirstColumn="0" showLastColumn="0" showRowStripes="1" showColumnStripes="0"/>
</table>
</file>

<file path=xl/tables/table788.xml><?xml version="1.0" encoding="utf-8"?>
<table xmlns="http://schemas.openxmlformats.org/spreadsheetml/2006/main" id="796" name="Pest_99" displayName="Pest_99" ref="A49:D64" totalsRowShown="0" headerRowDxfId="111" dataDxfId="109" headerRowBorderDxfId="110" tableBorderDxfId="108" headerRowCellStyle="40% - Accent6">
  <autoFilter ref="A49:D64"/>
  <tableColumns count="4">
    <tableColumn id="1" name="Expense" dataDxfId="107"/>
    <tableColumn id="2" name="Description" dataDxfId="106"/>
    <tableColumn id="4" name="Label Name" dataDxfId="105"/>
    <tableColumn id="5" name="Amount" dataDxfId="104" dataCellStyle="40% - Accent6"/>
  </tableColumns>
  <tableStyleInfo name="TableStyleLight18" showFirstColumn="0" showLastColumn="0" showRowStripes="1" showColumnStripes="0"/>
</table>
</file>

<file path=xl/tables/table789.xml><?xml version="1.0" encoding="utf-8"?>
<table xmlns="http://schemas.openxmlformats.org/spreadsheetml/2006/main" id="797" name="Garbage_99" displayName="Garbage_99" ref="A68:D83" totalsRowShown="0" headerRowDxfId="103" dataDxfId="101" headerRowBorderDxfId="102" tableBorderDxfId="100" headerRowCellStyle="40% - Accent6">
  <autoFilter ref="A68:D83"/>
  <tableColumns count="4">
    <tableColumn id="1" name="Expense" dataDxfId="99"/>
    <tableColumn id="2" name="Description" dataDxfId="98"/>
    <tableColumn id="4" name="Label Name" dataDxfId="97"/>
    <tableColumn id="5" name="Amount" dataDxfId="96" dataCellStyle="20% - Accent6"/>
  </tableColumns>
  <tableStyleInfo name="TableStyleLight18" showFirstColumn="0" showLastColumn="0" showRowStripes="1" showColumnStripes="0"/>
</table>
</file>

<file path=xl/tables/table79.xml><?xml version="1.0" encoding="utf-8"?>
<table xmlns="http://schemas.openxmlformats.org/spreadsheetml/2006/main" id="144" name="Fence_10" displayName="Fence_10" ref="A106:D121" totalsRowShown="0" headerRowDxfId="5783" dataDxfId="5781" headerRowBorderDxfId="5782" tableBorderDxfId="5780" headerRowCellStyle="40% - Accent6">
  <autoFilter ref="A106:D121"/>
  <tableColumns count="4">
    <tableColumn id="1" name="Expense" dataDxfId="5779"/>
    <tableColumn id="2" name="Description" dataDxfId="5778"/>
    <tableColumn id="4" name="Label Name" dataDxfId="5777"/>
    <tableColumn id="5" name="Amount" dataDxfId="5776" dataCellStyle="40% - Accent6"/>
  </tableColumns>
  <tableStyleInfo name="TableStyleLight18" showFirstColumn="0" showLastColumn="0" showRowStripes="1" showColumnStripes="0"/>
</table>
</file>

<file path=xl/tables/table790.xml><?xml version="1.0" encoding="utf-8"?>
<table xmlns="http://schemas.openxmlformats.org/spreadsheetml/2006/main" id="798" name="Boarding_99" displayName="Boarding_99" ref="A87:D102" totalsRowShown="0" headerRowDxfId="95" dataDxfId="93" headerRowBorderDxfId="94" tableBorderDxfId="92" headerRowCellStyle="40% - Accent6">
  <autoFilter ref="A87:D102"/>
  <tableColumns count="4">
    <tableColumn id="1" name="Expense" dataDxfId="91"/>
    <tableColumn id="2" name="Description" dataDxfId="90"/>
    <tableColumn id="4" name="Label Name" dataDxfId="89"/>
    <tableColumn id="5" name="Amount" dataDxfId="88" dataCellStyle="40% - Accent6"/>
  </tableColumns>
  <tableStyleInfo name="TableStyleLight18" showFirstColumn="0" showLastColumn="0" showRowStripes="1" showColumnStripes="0"/>
</table>
</file>

<file path=xl/tables/table791.xml><?xml version="1.0" encoding="utf-8"?>
<table xmlns="http://schemas.openxmlformats.org/spreadsheetml/2006/main" id="799" name="Fence_99" displayName="Fence_99" ref="A106:D121" totalsRowShown="0" headerRowDxfId="87" dataDxfId="85" headerRowBorderDxfId="86" tableBorderDxfId="84" headerRowCellStyle="40% - Accent6">
  <autoFilter ref="A106:D121"/>
  <tableColumns count="4">
    <tableColumn id="1" name="Expense" dataDxfId="83"/>
    <tableColumn id="2" name="Description" dataDxfId="82"/>
    <tableColumn id="4" name="Label Name" dataDxfId="81"/>
    <tableColumn id="5" name="Amount" dataDxfId="80" dataCellStyle="40% - Accent6"/>
  </tableColumns>
  <tableStyleInfo name="TableStyleLight18" showFirstColumn="0" showLastColumn="0" showRowStripes="1" showColumnStripes="0"/>
</table>
</file>

<file path=xl/tables/table792.xml><?xml version="1.0" encoding="utf-8"?>
<table xmlns="http://schemas.openxmlformats.org/spreadsheetml/2006/main" id="800" name="Demolition_99" displayName="Demolition_99" ref="A125:D140" totalsRowShown="0" headerRowDxfId="79" dataDxfId="77" headerRowBorderDxfId="78" tableBorderDxfId="76" headerRowCellStyle="40% - Accent6">
  <autoFilter ref="A125:D140"/>
  <tableColumns count="4">
    <tableColumn id="1" name="Expense" dataDxfId="75"/>
    <tableColumn id="2" name="Description" dataDxfId="74"/>
    <tableColumn id="4" name="Label Name" dataDxfId="73"/>
    <tableColumn id="5" name="Amount" dataDxfId="72" dataCellStyle="40% - Accent6"/>
  </tableColumns>
  <tableStyleInfo name="TableStyleLight18" showFirstColumn="0" showLastColumn="0" showRowStripes="1" showColumnStripes="0"/>
</table>
</file>

<file path=xl/tables/table793.xml><?xml version="1.0" encoding="utf-8"?>
<table xmlns="http://schemas.openxmlformats.org/spreadsheetml/2006/main" id="801" name="Rehab_99" displayName="Rehab_99" ref="A144:D159" totalsRowShown="0" headerRowDxfId="71" dataDxfId="69" headerRowBorderDxfId="70" tableBorderDxfId="68" headerRowCellStyle="40% - Accent6">
  <autoFilter ref="A144:D159"/>
  <tableColumns count="4">
    <tableColumn id="1" name="Expense" dataDxfId="67"/>
    <tableColumn id="2" name="Description" dataDxfId="66"/>
    <tableColumn id="4" name="Label Name" dataDxfId="65"/>
    <tableColumn id="5" name="Amount" dataDxfId="64" dataCellStyle="40% - Accent6"/>
  </tableColumns>
  <tableStyleInfo name="TableStyleLight18" showFirstColumn="0" showLastColumn="0" showRowStripes="1" showColumnStripes="0"/>
</table>
</file>

<file path=xl/tables/table794.xml><?xml version="1.0" encoding="utf-8"?>
<table xmlns="http://schemas.openxmlformats.org/spreadsheetml/2006/main" id="778" name="Grass_100" displayName="Grass_100" ref="A11:D26" totalsRowShown="0" headerRowDxfId="63" dataDxfId="61" headerRowBorderDxfId="62" tableBorderDxfId="60" headerRowCellStyle="40% - Accent6">
  <autoFilter ref="A11:D26"/>
  <tableColumns count="4">
    <tableColumn id="1" name="Expense" dataDxfId="59"/>
    <tableColumn id="2" name="Description" dataDxfId="58"/>
    <tableColumn id="4" name="Label Name" dataDxfId="57"/>
    <tableColumn id="5" name="Amount" dataDxfId="56" dataCellStyle="20% - Accent6"/>
  </tableColumns>
  <tableStyleInfo name="TableStyleLight18" showFirstColumn="0" showLastColumn="0" showRowStripes="1" showColumnStripes="0"/>
</table>
</file>

<file path=xl/tables/table795.xml><?xml version="1.0" encoding="utf-8"?>
<table xmlns="http://schemas.openxmlformats.org/spreadsheetml/2006/main" id="779" name="Tree_100" displayName="Tree_100" ref="A30:D45" totalsRowShown="0" headerRowDxfId="55" dataDxfId="53" headerRowBorderDxfId="54" tableBorderDxfId="52" headerRowCellStyle="40% - Accent6">
  <autoFilter ref="A30:D45"/>
  <tableColumns count="4">
    <tableColumn id="1" name="Expense" dataDxfId="51"/>
    <tableColumn id="2" name="Description" dataDxfId="50"/>
    <tableColumn id="4" name="Label Name" dataDxfId="49"/>
    <tableColumn id="5" name="Amount" dataDxfId="48" dataCellStyle="40% - Accent6"/>
  </tableColumns>
  <tableStyleInfo name="TableStyleLight18" showFirstColumn="0" showLastColumn="0" showRowStripes="1" showColumnStripes="0"/>
</table>
</file>

<file path=xl/tables/table796.xml><?xml version="1.0" encoding="utf-8"?>
<table xmlns="http://schemas.openxmlformats.org/spreadsheetml/2006/main" id="780" name="Pest_100" displayName="Pest_100" ref="A49:D64" totalsRowShown="0" headerRowDxfId="47" dataDxfId="45" headerRowBorderDxfId="46" tableBorderDxfId="44" headerRowCellStyle="40% - Accent6">
  <autoFilter ref="A49:D64"/>
  <tableColumns count="4">
    <tableColumn id="1" name="Expense" dataDxfId="43"/>
    <tableColumn id="2" name="Description" dataDxfId="42"/>
    <tableColumn id="4" name="Label Name" dataDxfId="41"/>
    <tableColumn id="5" name="Amount" dataDxfId="40" dataCellStyle="40% - Accent6"/>
  </tableColumns>
  <tableStyleInfo name="TableStyleLight18" showFirstColumn="0" showLastColumn="0" showRowStripes="1" showColumnStripes="0"/>
</table>
</file>

<file path=xl/tables/table797.xml><?xml version="1.0" encoding="utf-8"?>
<table xmlns="http://schemas.openxmlformats.org/spreadsheetml/2006/main" id="781" name="Garbage_100" displayName="Garbage_100" ref="A68:D83" totalsRowShown="0" headerRowDxfId="39" dataDxfId="37" headerRowBorderDxfId="38" tableBorderDxfId="36" headerRowCellStyle="40% - Accent6">
  <autoFilter ref="A68:D83"/>
  <tableColumns count="4">
    <tableColumn id="1" name="Expense" dataDxfId="35"/>
    <tableColumn id="2" name="Description" dataDxfId="34"/>
    <tableColumn id="4" name="Label Name" dataDxfId="33"/>
    <tableColumn id="5" name="Amount" dataDxfId="32" dataCellStyle="20% - Accent6"/>
  </tableColumns>
  <tableStyleInfo name="TableStyleLight18" showFirstColumn="0" showLastColumn="0" showRowStripes="1" showColumnStripes="0"/>
</table>
</file>

<file path=xl/tables/table798.xml><?xml version="1.0" encoding="utf-8"?>
<table xmlns="http://schemas.openxmlformats.org/spreadsheetml/2006/main" id="782" name="Boarding_100" displayName="Boarding_100" ref="A87:D102" totalsRowShown="0" headerRowDxfId="31" dataDxfId="29" headerRowBorderDxfId="30" tableBorderDxfId="28" headerRowCellStyle="40% - Accent6">
  <autoFilter ref="A87:D102"/>
  <tableColumns count="4">
    <tableColumn id="1" name="Expense" dataDxfId="27"/>
    <tableColumn id="2" name="Description" dataDxfId="26"/>
    <tableColumn id="4" name="Label Name" dataDxfId="25"/>
    <tableColumn id="5" name="Amount" dataDxfId="24" dataCellStyle="40% - Accent6"/>
  </tableColumns>
  <tableStyleInfo name="TableStyleLight18" showFirstColumn="0" showLastColumn="0" showRowStripes="1" showColumnStripes="0"/>
</table>
</file>

<file path=xl/tables/table799.xml><?xml version="1.0" encoding="utf-8"?>
<table xmlns="http://schemas.openxmlformats.org/spreadsheetml/2006/main" id="783" name="Fence_100" displayName="Fence_100" ref="A106:D121" totalsRowShown="0" headerRowDxfId="23" dataDxfId="21" headerRowBorderDxfId="22" tableBorderDxfId="20" headerRowCellStyle="40% - Accent6">
  <autoFilter ref="A106:D121"/>
  <tableColumns count="4">
    <tableColumn id="1" name="Expense" dataDxfId="19"/>
    <tableColumn id="2" name="Description" dataDxfId="18"/>
    <tableColumn id="4" name="Label Name" dataDxfId="17"/>
    <tableColumn id="5" name="Amount" dataDxfId="16" dataCellStyle="40% - Accent6"/>
  </tableColumns>
  <tableStyleInfo name="TableStyleLight18" showFirstColumn="0" showLastColumn="0" showRowStripes="1" showColumnStripes="0"/>
</table>
</file>

<file path=xl/tables/table8.xml><?xml version="1.0" encoding="utf-8"?>
<table xmlns="http://schemas.openxmlformats.org/spreadsheetml/2006/main" id="65" name="Demolition_1" displayName="Demolition_1" ref="A125:D140" totalsRowShown="0" headerRowDxfId="6351" dataDxfId="6349" headerRowBorderDxfId="6350" tableBorderDxfId="6348" headerRowCellStyle="40% - Accent6">
  <autoFilter ref="A125:D140"/>
  <tableColumns count="4">
    <tableColumn id="1" name="Expense" dataDxfId="6347"/>
    <tableColumn id="2" name="Description" dataDxfId="6346"/>
    <tableColumn id="4" name="Label Name" dataDxfId="6345"/>
    <tableColumn id="5" name="Amount" dataDxfId="6344" dataCellStyle="40% - Accent6"/>
  </tableColumns>
  <tableStyleInfo name="TableStyleLight18" showFirstColumn="0" showLastColumn="0" showRowStripes="1" showColumnStripes="0"/>
</table>
</file>

<file path=xl/tables/table80.xml><?xml version="1.0" encoding="utf-8"?>
<table xmlns="http://schemas.openxmlformats.org/spreadsheetml/2006/main" id="145" name="Demolition_10" displayName="Demolition_10" ref="A125:D140" totalsRowShown="0" headerRowDxfId="5775" dataDxfId="5773" headerRowBorderDxfId="5774" tableBorderDxfId="5772" headerRowCellStyle="40% - Accent6">
  <autoFilter ref="A125:D140"/>
  <tableColumns count="4">
    <tableColumn id="1" name="Expense" dataDxfId="5771"/>
    <tableColumn id="2" name="Description" dataDxfId="5770"/>
    <tableColumn id="4" name="Label Name" dataDxfId="5769"/>
    <tableColumn id="5" name="Amount" dataDxfId="5768" dataCellStyle="40% - Accent6"/>
  </tableColumns>
  <tableStyleInfo name="TableStyleLight18" showFirstColumn="0" showLastColumn="0" showRowStripes="1" showColumnStripes="0"/>
</table>
</file>

<file path=xl/tables/table800.xml><?xml version="1.0" encoding="utf-8"?>
<table xmlns="http://schemas.openxmlformats.org/spreadsheetml/2006/main" id="784" name="Demolition_100" displayName="Demolition_100" ref="A125:D140" totalsRowShown="0" headerRowDxfId="15" dataDxfId="13" headerRowBorderDxfId="14" tableBorderDxfId="12" headerRowCellStyle="40% - Accent6">
  <autoFilter ref="A125:D140"/>
  <tableColumns count="4">
    <tableColumn id="1" name="Expense" dataDxfId="11"/>
    <tableColumn id="2" name="Description" dataDxfId="10"/>
    <tableColumn id="4" name="Label Name" dataDxfId="9"/>
    <tableColumn id="5" name="Amount" dataDxfId="8" dataCellStyle="40% - Accent6"/>
  </tableColumns>
  <tableStyleInfo name="TableStyleLight18" showFirstColumn="0" showLastColumn="0" showRowStripes="1" showColumnStripes="0"/>
</table>
</file>

<file path=xl/tables/table801.xml><?xml version="1.0" encoding="utf-8"?>
<table xmlns="http://schemas.openxmlformats.org/spreadsheetml/2006/main" id="785" name="Rehab_100" displayName="Rehab_100" ref="A144:D159" totalsRowShown="0" headerRowDxfId="7" dataDxfId="5" headerRowBorderDxfId="6" tableBorderDxfId="4" headerRowCellStyle="40% - Accent6">
  <autoFilter ref="A144:D159"/>
  <tableColumns count="4">
    <tableColumn id="1" name="Expense" dataDxfId="3"/>
    <tableColumn id="2" name="Description" dataDxfId="2"/>
    <tableColumn id="4" name="Label Name" dataDxfId="1"/>
    <tableColumn id="5" name="Amount" dataDxfId="0" dataCellStyle="40% - Accent6"/>
  </tableColumns>
  <tableStyleInfo name="TableStyleLight18" showFirstColumn="0" showLastColumn="0" showRowStripes="1" showColumnStripes="0"/>
</table>
</file>

<file path=xl/tables/table81.xml><?xml version="1.0" encoding="utf-8"?>
<table xmlns="http://schemas.openxmlformats.org/spreadsheetml/2006/main" id="146" name="Rehab_10" displayName="Rehab_10" ref="A144:D159" totalsRowShown="0" headerRowDxfId="5767" dataDxfId="5765" headerRowBorderDxfId="5766" tableBorderDxfId="5764" headerRowCellStyle="40% - Accent6">
  <autoFilter ref="A144:D159"/>
  <tableColumns count="4">
    <tableColumn id="1" name="Expense" dataDxfId="5763"/>
    <tableColumn id="2" name="Description" dataDxfId="5762"/>
    <tableColumn id="4" name="Label Name" dataDxfId="5761"/>
    <tableColumn id="5" name="Amount" dataDxfId="5760" dataCellStyle="40% - Accent6"/>
  </tableColumns>
  <tableStyleInfo name="TableStyleLight18" showFirstColumn="0" showLastColumn="0" showRowStripes="1" showColumnStripes="0"/>
</table>
</file>

<file path=xl/tables/table82.xml><?xml version="1.0" encoding="utf-8"?>
<table xmlns="http://schemas.openxmlformats.org/spreadsheetml/2006/main" id="5" name="Grass_11" displayName="Grass_11" ref="A11:D26" totalsRowShown="0" headerRowDxfId="5759" dataDxfId="5757" headerRowBorderDxfId="5758" tableBorderDxfId="5756" headerRowCellStyle="40% - Accent6">
  <autoFilter ref="A11:D26"/>
  <tableColumns count="4">
    <tableColumn id="1" name="Expense" dataDxfId="5755"/>
    <tableColumn id="2" name="Description" dataDxfId="5754"/>
    <tableColumn id="4" name="Label Name" dataDxfId="5753"/>
    <tableColumn id="5" name="Amount" dataDxfId="5752" dataCellStyle="20% - Accent6"/>
  </tableColumns>
  <tableStyleInfo name="TableStyleLight18" showFirstColumn="0" showLastColumn="0" showRowStripes="1" showColumnStripes="0"/>
</table>
</file>

<file path=xl/tables/table83.xml><?xml version="1.0" encoding="utf-8"?>
<table xmlns="http://schemas.openxmlformats.org/spreadsheetml/2006/main" id="6" name="Tree_11" displayName="Tree_11" ref="A30:D45" totalsRowShown="0" headerRowDxfId="5751" dataDxfId="5749" headerRowBorderDxfId="5750" tableBorderDxfId="5748" headerRowCellStyle="40% - Accent6">
  <autoFilter ref="A30:D45"/>
  <tableColumns count="4">
    <tableColumn id="1" name="Expense" dataDxfId="5747"/>
    <tableColumn id="2" name="Description" dataDxfId="5746"/>
    <tableColumn id="4" name="Label Name" dataDxfId="5745"/>
    <tableColumn id="5" name="Amount" dataDxfId="5744" dataCellStyle="40% - Accent6"/>
  </tableColumns>
  <tableStyleInfo name="TableStyleLight18" showFirstColumn="0" showLastColumn="0" showRowStripes="1" showColumnStripes="0"/>
</table>
</file>

<file path=xl/tables/table84.xml><?xml version="1.0" encoding="utf-8"?>
<table xmlns="http://schemas.openxmlformats.org/spreadsheetml/2006/main" id="7" name="Pest_11" displayName="Pest_11" ref="A49:D64" totalsRowShown="0" headerRowDxfId="5743" dataDxfId="5741" headerRowBorderDxfId="5742" tableBorderDxfId="5740" headerRowCellStyle="40% - Accent6">
  <autoFilter ref="A49:D64"/>
  <tableColumns count="4">
    <tableColumn id="1" name="Expense" dataDxfId="5739"/>
    <tableColumn id="2" name="Description" dataDxfId="5738"/>
    <tableColumn id="4" name="Label Name" dataDxfId="5737"/>
    <tableColumn id="5" name="Amount" dataDxfId="5736" dataCellStyle="40% - Accent6"/>
  </tableColumns>
  <tableStyleInfo name="TableStyleLight18" showFirstColumn="0" showLastColumn="0" showRowStripes="1" showColumnStripes="0"/>
</table>
</file>

<file path=xl/tables/table85.xml><?xml version="1.0" encoding="utf-8"?>
<table xmlns="http://schemas.openxmlformats.org/spreadsheetml/2006/main" id="8" name="Garbage_11" displayName="Garbage_11" ref="A68:D83" totalsRowShown="0" headerRowDxfId="5735" dataDxfId="5733" headerRowBorderDxfId="5734" tableBorderDxfId="5732" headerRowCellStyle="40% - Accent6">
  <autoFilter ref="A68:D83"/>
  <tableColumns count="4">
    <tableColumn id="1" name="Expense" dataDxfId="5731"/>
    <tableColumn id="2" name="Description" dataDxfId="5730"/>
    <tableColumn id="4" name="Label Name" dataDxfId="5729"/>
    <tableColumn id="5" name="Amount" dataDxfId="5728" dataCellStyle="20% - Accent6"/>
  </tableColumns>
  <tableStyleInfo name="TableStyleLight18" showFirstColumn="0" showLastColumn="0" showRowStripes="1" showColumnStripes="0"/>
</table>
</file>

<file path=xl/tables/table86.xml><?xml version="1.0" encoding="utf-8"?>
<table xmlns="http://schemas.openxmlformats.org/spreadsheetml/2006/main" id="9" name="Boarding_11" displayName="Boarding_11" ref="A87:D102" totalsRowShown="0" headerRowDxfId="5727" dataDxfId="5725" headerRowBorderDxfId="5726" tableBorderDxfId="5724" headerRowCellStyle="40% - Accent6">
  <autoFilter ref="A87:D102"/>
  <tableColumns count="4">
    <tableColumn id="1" name="Expense" dataDxfId="5723"/>
    <tableColumn id="2" name="Description" dataDxfId="5722"/>
    <tableColumn id="4" name="Label Name" dataDxfId="5721"/>
    <tableColumn id="5" name="Amount" dataDxfId="5720" dataCellStyle="40% - Accent6"/>
  </tableColumns>
  <tableStyleInfo name="TableStyleLight18" showFirstColumn="0" showLastColumn="0" showRowStripes="1" showColumnStripes="0"/>
</table>
</file>

<file path=xl/tables/table87.xml><?xml version="1.0" encoding="utf-8"?>
<table xmlns="http://schemas.openxmlformats.org/spreadsheetml/2006/main" id="10" name="Fence_11" displayName="Fence_11" ref="A106:D121" totalsRowShown="0" headerRowDxfId="5719" dataDxfId="5717" headerRowBorderDxfId="5718" tableBorderDxfId="5716" headerRowCellStyle="40% - Accent6">
  <autoFilter ref="A106:D121"/>
  <tableColumns count="4">
    <tableColumn id="1" name="Expense" dataDxfId="5715"/>
    <tableColumn id="2" name="Description" dataDxfId="5714"/>
    <tableColumn id="4" name="Label Name" dataDxfId="5713"/>
    <tableColumn id="5" name="Amount" dataDxfId="5712" dataCellStyle="40% - Accent6"/>
  </tableColumns>
  <tableStyleInfo name="TableStyleLight18" showFirstColumn="0" showLastColumn="0" showRowStripes="1" showColumnStripes="0"/>
</table>
</file>

<file path=xl/tables/table88.xml><?xml version="1.0" encoding="utf-8"?>
<table xmlns="http://schemas.openxmlformats.org/spreadsheetml/2006/main" id="11" name="Demolition_11" displayName="Demolition_11" ref="A125:D140" totalsRowShown="0" headerRowDxfId="5711" dataDxfId="5709" headerRowBorderDxfId="5710" tableBorderDxfId="5708" headerRowCellStyle="40% - Accent6">
  <autoFilter ref="A125:D140"/>
  <tableColumns count="4">
    <tableColumn id="1" name="Expense" dataDxfId="5707"/>
    <tableColumn id="2" name="Description" dataDxfId="5706"/>
    <tableColumn id="4" name="Label Name" dataDxfId="5705"/>
    <tableColumn id="5" name="Amount" dataDxfId="5704" dataCellStyle="40% - Accent6"/>
  </tableColumns>
  <tableStyleInfo name="TableStyleLight18" showFirstColumn="0" showLastColumn="0" showRowStripes="1" showColumnStripes="0"/>
</table>
</file>

<file path=xl/tables/table89.xml><?xml version="1.0" encoding="utf-8"?>
<table xmlns="http://schemas.openxmlformats.org/spreadsheetml/2006/main" id="12" name="Rehab_11" displayName="Rehab_11" ref="A144:D159" totalsRowShown="0" headerRowDxfId="5703" dataDxfId="5701" headerRowBorderDxfId="5702" tableBorderDxfId="5700" headerRowCellStyle="40% - Accent6">
  <autoFilter ref="A144:D159"/>
  <tableColumns count="4">
    <tableColumn id="1" name="Expense" dataDxfId="5699"/>
    <tableColumn id="2" name="Description" dataDxfId="5698"/>
    <tableColumn id="4" name="Label Name" dataDxfId="5697"/>
    <tableColumn id="5" name="Amount" dataDxfId="5696" dataCellStyle="40% - Accent6"/>
  </tableColumns>
  <tableStyleInfo name="TableStyleLight18" showFirstColumn="0" showLastColumn="0" showRowStripes="1" showColumnStripes="0"/>
</table>
</file>

<file path=xl/tables/table9.xml><?xml version="1.0" encoding="utf-8"?>
<table xmlns="http://schemas.openxmlformats.org/spreadsheetml/2006/main" id="66" name="Rehab_1" displayName="Rehab_1" ref="A144:D159" totalsRowShown="0" headerRowDxfId="6343" dataDxfId="6341" headerRowBorderDxfId="6342" tableBorderDxfId="6340" headerRowCellStyle="40% - Accent6">
  <autoFilter ref="A144:D159"/>
  <tableColumns count="4">
    <tableColumn id="1" name="Expense" dataDxfId="6339"/>
    <tableColumn id="2" name="Description" dataDxfId="6338"/>
    <tableColumn id="4" name="Label Name" dataDxfId="6337"/>
    <tableColumn id="5" name="Amount" dataDxfId="6336" dataCellStyle="40% - Accent6"/>
  </tableColumns>
  <tableStyleInfo name="TableStyleLight18" showFirstColumn="0" showLastColumn="0" showRowStripes="1" showColumnStripes="0"/>
</table>
</file>

<file path=xl/tables/table90.xml><?xml version="1.0" encoding="utf-8"?>
<table xmlns="http://schemas.openxmlformats.org/spreadsheetml/2006/main" id="13" name="Grass_12" displayName="Grass_12" ref="A11:D26" totalsRowShown="0" headerRowDxfId="5695" dataDxfId="5693" headerRowBorderDxfId="5694" tableBorderDxfId="5692" headerRowCellStyle="40% - Accent6">
  <autoFilter ref="A11:D26"/>
  <tableColumns count="4">
    <tableColumn id="1" name="Expense" dataDxfId="5691"/>
    <tableColumn id="2" name="Description" dataDxfId="5690"/>
    <tableColumn id="4" name="Label Name" dataDxfId="5689"/>
    <tableColumn id="5" name="Amount" dataDxfId="5688" dataCellStyle="20% - Accent6"/>
  </tableColumns>
  <tableStyleInfo name="TableStyleLight18" showFirstColumn="0" showLastColumn="0" showRowStripes="1" showColumnStripes="0"/>
</table>
</file>

<file path=xl/tables/table91.xml><?xml version="1.0" encoding="utf-8"?>
<table xmlns="http://schemas.openxmlformats.org/spreadsheetml/2006/main" id="14" name="Tree_12" displayName="Tree_12" ref="A30:D45" totalsRowShown="0" headerRowDxfId="5687" dataDxfId="5685" headerRowBorderDxfId="5686" tableBorderDxfId="5684" headerRowCellStyle="40% - Accent6">
  <autoFilter ref="A30:D45"/>
  <tableColumns count="4">
    <tableColumn id="1" name="Expense" dataDxfId="5683"/>
    <tableColumn id="2" name="Description" dataDxfId="5682"/>
    <tableColumn id="4" name="Label Name" dataDxfId="5681"/>
    <tableColumn id="5" name="Amount" dataDxfId="5680" dataCellStyle="40% - Accent6"/>
  </tableColumns>
  <tableStyleInfo name="TableStyleLight18" showFirstColumn="0" showLastColumn="0" showRowStripes="1" showColumnStripes="0"/>
</table>
</file>

<file path=xl/tables/table92.xml><?xml version="1.0" encoding="utf-8"?>
<table xmlns="http://schemas.openxmlformats.org/spreadsheetml/2006/main" id="15" name="Pest_12" displayName="Pest_12" ref="A49:D64" totalsRowShown="0" headerRowDxfId="5679" dataDxfId="5677" headerRowBorderDxfId="5678" tableBorderDxfId="5676" headerRowCellStyle="40% - Accent6">
  <autoFilter ref="A49:D64"/>
  <tableColumns count="4">
    <tableColumn id="1" name="Expense" dataDxfId="5675"/>
    <tableColumn id="2" name="Description" dataDxfId="5674"/>
    <tableColumn id="4" name="Label Name" dataDxfId="5673"/>
    <tableColumn id="5" name="Amount" dataDxfId="5672" dataCellStyle="40% - Accent6"/>
  </tableColumns>
  <tableStyleInfo name="TableStyleLight18" showFirstColumn="0" showLastColumn="0" showRowStripes="1" showColumnStripes="0"/>
</table>
</file>

<file path=xl/tables/table93.xml><?xml version="1.0" encoding="utf-8"?>
<table xmlns="http://schemas.openxmlformats.org/spreadsheetml/2006/main" id="16" name="Garbage_12" displayName="Garbage_12" ref="A68:D83" totalsRowShown="0" headerRowDxfId="5671" dataDxfId="5669" headerRowBorderDxfId="5670" tableBorderDxfId="5668" headerRowCellStyle="40% - Accent6">
  <autoFilter ref="A68:D83"/>
  <tableColumns count="4">
    <tableColumn id="1" name="Expense" dataDxfId="5667"/>
    <tableColumn id="2" name="Description" dataDxfId="5666"/>
    <tableColumn id="4" name="Label Name" dataDxfId="5665"/>
    <tableColumn id="5" name="Amount" dataDxfId="5664" dataCellStyle="20% - Accent6"/>
  </tableColumns>
  <tableStyleInfo name="TableStyleLight18" showFirstColumn="0" showLastColumn="0" showRowStripes="1" showColumnStripes="0"/>
</table>
</file>

<file path=xl/tables/table94.xml><?xml version="1.0" encoding="utf-8"?>
<table xmlns="http://schemas.openxmlformats.org/spreadsheetml/2006/main" id="17" name="Boarding_12" displayName="Boarding_12" ref="A87:D102" totalsRowShown="0" headerRowDxfId="5663" dataDxfId="5661" headerRowBorderDxfId="5662" tableBorderDxfId="5660" headerRowCellStyle="40% - Accent6">
  <autoFilter ref="A87:D102"/>
  <tableColumns count="4">
    <tableColumn id="1" name="Expense" dataDxfId="5659"/>
    <tableColumn id="2" name="Description" dataDxfId="5658"/>
    <tableColumn id="4" name="Label Name" dataDxfId="5657"/>
    <tableColumn id="5" name="Amount" dataDxfId="5656" dataCellStyle="40% - Accent6"/>
  </tableColumns>
  <tableStyleInfo name="TableStyleLight18" showFirstColumn="0" showLastColumn="0" showRowStripes="1" showColumnStripes="0"/>
</table>
</file>

<file path=xl/tables/table95.xml><?xml version="1.0" encoding="utf-8"?>
<table xmlns="http://schemas.openxmlformats.org/spreadsheetml/2006/main" id="18" name="Fence_12" displayName="Fence_12" ref="A106:D121" totalsRowShown="0" headerRowDxfId="5655" dataDxfId="5653" headerRowBorderDxfId="5654" tableBorderDxfId="5652" headerRowCellStyle="40% - Accent6">
  <autoFilter ref="A106:D121"/>
  <tableColumns count="4">
    <tableColumn id="1" name="Expense" dataDxfId="5651"/>
    <tableColumn id="2" name="Description" dataDxfId="5650"/>
    <tableColumn id="4" name="Label Name" dataDxfId="5649"/>
    <tableColumn id="5" name="Amount" dataDxfId="5648" dataCellStyle="40% - Accent6"/>
  </tableColumns>
  <tableStyleInfo name="TableStyleLight18" showFirstColumn="0" showLastColumn="0" showRowStripes="1" showColumnStripes="0"/>
</table>
</file>

<file path=xl/tables/table96.xml><?xml version="1.0" encoding="utf-8"?>
<table xmlns="http://schemas.openxmlformats.org/spreadsheetml/2006/main" id="19" name="Demolition_12" displayName="Demolition_12" ref="A125:D140" totalsRowShown="0" headerRowDxfId="5647" dataDxfId="5645" headerRowBorderDxfId="5646" tableBorderDxfId="5644" headerRowCellStyle="40% - Accent6">
  <autoFilter ref="A125:D140"/>
  <tableColumns count="4">
    <tableColumn id="1" name="Expense" dataDxfId="5643"/>
    <tableColumn id="2" name="Description" dataDxfId="5642"/>
    <tableColumn id="4" name="Label Name" dataDxfId="5641"/>
    <tableColumn id="5" name="Amount" dataDxfId="5640" dataCellStyle="40% - Accent6"/>
  </tableColumns>
  <tableStyleInfo name="TableStyleLight18" showFirstColumn="0" showLastColumn="0" showRowStripes="1" showColumnStripes="0"/>
</table>
</file>

<file path=xl/tables/table97.xml><?xml version="1.0" encoding="utf-8"?>
<table xmlns="http://schemas.openxmlformats.org/spreadsheetml/2006/main" id="20" name="Rehab_12" displayName="Rehab_12" ref="A144:D159" totalsRowShown="0" headerRowDxfId="5639" dataDxfId="5637" headerRowBorderDxfId="5638" tableBorderDxfId="5636" headerRowCellStyle="40% - Accent6">
  <autoFilter ref="A144:D159"/>
  <tableColumns count="4">
    <tableColumn id="1" name="Expense" dataDxfId="5635"/>
    <tableColumn id="2" name="Description" dataDxfId="5634"/>
    <tableColumn id="4" name="Label Name" dataDxfId="5633"/>
    <tableColumn id="5" name="Amount" dataDxfId="5632" dataCellStyle="40% - Accent6"/>
  </tableColumns>
  <tableStyleInfo name="TableStyleLight18" showFirstColumn="0" showLastColumn="0" showRowStripes="1" showColumnStripes="0"/>
</table>
</file>

<file path=xl/tables/table98.xml><?xml version="1.0" encoding="utf-8"?>
<table xmlns="http://schemas.openxmlformats.org/spreadsheetml/2006/main" id="21" name="Grass_13" displayName="Grass_13" ref="A11:D26" totalsRowShown="0" headerRowDxfId="5631" dataDxfId="5629" headerRowBorderDxfId="5630" tableBorderDxfId="5628" headerRowCellStyle="40% - Accent6">
  <autoFilter ref="A11:D26"/>
  <tableColumns count="4">
    <tableColumn id="1" name="Expense" dataDxfId="5627"/>
    <tableColumn id="2" name="Description" dataDxfId="5626"/>
    <tableColumn id="4" name="Label Name" dataDxfId="5625"/>
    <tableColumn id="5" name="Amount" dataDxfId="5624" dataCellStyle="20% - Accent6"/>
  </tableColumns>
  <tableStyleInfo name="TableStyleLight18" showFirstColumn="0" showLastColumn="0" showRowStripes="1" showColumnStripes="0"/>
</table>
</file>

<file path=xl/tables/table99.xml><?xml version="1.0" encoding="utf-8"?>
<table xmlns="http://schemas.openxmlformats.org/spreadsheetml/2006/main" id="22" name="Tree_13" displayName="Tree_13" ref="A30:D45" totalsRowShown="0" headerRowDxfId="5623" dataDxfId="5621" headerRowBorderDxfId="5622" tableBorderDxfId="5620" headerRowCellStyle="40% - Accent6">
  <autoFilter ref="A30:D45"/>
  <tableColumns count="4">
    <tableColumn id="1" name="Expense" dataDxfId="5619"/>
    <tableColumn id="2" name="Description" dataDxfId="5618"/>
    <tableColumn id="4" name="Label Name" dataDxfId="5617"/>
    <tableColumn id="5" name="Amount" dataDxfId="5616" dataCellStyle="40% - Accent6"/>
  </tableColumns>
  <tableStyleInfo name="TableStyleLight18"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table" Target="../tables/table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8" Type="http://schemas.openxmlformats.org/officeDocument/2006/relationships/table" Target="../tables/table72.xml"/><Relationship Id="rId3" Type="http://schemas.openxmlformats.org/officeDocument/2006/relationships/table" Target="../tables/table67.xml"/><Relationship Id="rId7" Type="http://schemas.openxmlformats.org/officeDocument/2006/relationships/table" Target="../tables/table71.xml"/><Relationship Id="rId2" Type="http://schemas.openxmlformats.org/officeDocument/2006/relationships/table" Target="../tables/table66.xml"/><Relationship Id="rId1" Type="http://schemas.openxmlformats.org/officeDocument/2006/relationships/printerSettings" Target="../printerSettings/printerSettings10.bin"/><Relationship Id="rId6" Type="http://schemas.openxmlformats.org/officeDocument/2006/relationships/table" Target="../tables/table70.xml"/><Relationship Id="rId5" Type="http://schemas.openxmlformats.org/officeDocument/2006/relationships/table" Target="../tables/table69.xml"/><Relationship Id="rId4" Type="http://schemas.openxmlformats.org/officeDocument/2006/relationships/table" Target="../tables/table68.xml"/><Relationship Id="rId9" Type="http://schemas.openxmlformats.org/officeDocument/2006/relationships/table" Target="../tables/table73.xml"/></Relationships>
</file>

<file path=xl/worksheets/_rels/sheet100.xml.rels><?xml version="1.0" encoding="UTF-8" standalone="yes"?>
<Relationships xmlns="http://schemas.openxmlformats.org/package/2006/relationships"><Relationship Id="rId8" Type="http://schemas.openxmlformats.org/officeDocument/2006/relationships/table" Target="../tables/table792.xml"/><Relationship Id="rId3" Type="http://schemas.openxmlformats.org/officeDocument/2006/relationships/table" Target="../tables/table787.xml"/><Relationship Id="rId7" Type="http://schemas.openxmlformats.org/officeDocument/2006/relationships/table" Target="../tables/table791.xml"/><Relationship Id="rId2" Type="http://schemas.openxmlformats.org/officeDocument/2006/relationships/table" Target="../tables/table786.xml"/><Relationship Id="rId1" Type="http://schemas.openxmlformats.org/officeDocument/2006/relationships/printerSettings" Target="../printerSettings/printerSettings100.bin"/><Relationship Id="rId6" Type="http://schemas.openxmlformats.org/officeDocument/2006/relationships/table" Target="../tables/table790.xml"/><Relationship Id="rId5" Type="http://schemas.openxmlformats.org/officeDocument/2006/relationships/table" Target="../tables/table789.xml"/><Relationship Id="rId4" Type="http://schemas.openxmlformats.org/officeDocument/2006/relationships/table" Target="../tables/table788.xml"/><Relationship Id="rId9" Type="http://schemas.openxmlformats.org/officeDocument/2006/relationships/table" Target="../tables/table793.xml"/></Relationships>
</file>

<file path=xl/worksheets/_rels/sheet101.xml.rels><?xml version="1.0" encoding="UTF-8" standalone="yes"?>
<Relationships xmlns="http://schemas.openxmlformats.org/package/2006/relationships"><Relationship Id="rId8" Type="http://schemas.openxmlformats.org/officeDocument/2006/relationships/table" Target="../tables/table800.xml"/><Relationship Id="rId3" Type="http://schemas.openxmlformats.org/officeDocument/2006/relationships/table" Target="../tables/table795.xml"/><Relationship Id="rId7" Type="http://schemas.openxmlformats.org/officeDocument/2006/relationships/table" Target="../tables/table799.xml"/><Relationship Id="rId2" Type="http://schemas.openxmlformats.org/officeDocument/2006/relationships/table" Target="../tables/table794.xml"/><Relationship Id="rId1" Type="http://schemas.openxmlformats.org/officeDocument/2006/relationships/printerSettings" Target="../printerSettings/printerSettings101.bin"/><Relationship Id="rId6" Type="http://schemas.openxmlformats.org/officeDocument/2006/relationships/table" Target="../tables/table798.xml"/><Relationship Id="rId5" Type="http://schemas.openxmlformats.org/officeDocument/2006/relationships/table" Target="../tables/table797.xml"/><Relationship Id="rId4" Type="http://schemas.openxmlformats.org/officeDocument/2006/relationships/table" Target="../tables/table796.xml"/><Relationship Id="rId9" Type="http://schemas.openxmlformats.org/officeDocument/2006/relationships/table" Target="../tables/table801.xml"/></Relationships>
</file>

<file path=xl/worksheets/_rels/sheet11.xml.rels><?xml version="1.0" encoding="UTF-8" standalone="yes"?>
<Relationships xmlns="http://schemas.openxmlformats.org/package/2006/relationships"><Relationship Id="rId8" Type="http://schemas.openxmlformats.org/officeDocument/2006/relationships/table" Target="../tables/table80.xml"/><Relationship Id="rId3" Type="http://schemas.openxmlformats.org/officeDocument/2006/relationships/table" Target="../tables/table75.xml"/><Relationship Id="rId7" Type="http://schemas.openxmlformats.org/officeDocument/2006/relationships/table" Target="../tables/table79.xml"/><Relationship Id="rId2" Type="http://schemas.openxmlformats.org/officeDocument/2006/relationships/table" Target="../tables/table74.xml"/><Relationship Id="rId1" Type="http://schemas.openxmlformats.org/officeDocument/2006/relationships/printerSettings" Target="../printerSettings/printerSettings11.bin"/><Relationship Id="rId6" Type="http://schemas.openxmlformats.org/officeDocument/2006/relationships/table" Target="../tables/table78.xml"/><Relationship Id="rId5" Type="http://schemas.openxmlformats.org/officeDocument/2006/relationships/table" Target="../tables/table77.xml"/><Relationship Id="rId4" Type="http://schemas.openxmlformats.org/officeDocument/2006/relationships/table" Target="../tables/table76.xml"/><Relationship Id="rId9" Type="http://schemas.openxmlformats.org/officeDocument/2006/relationships/table" Target="../tables/table81.xml"/></Relationships>
</file>

<file path=xl/worksheets/_rels/sheet12.xml.rels><?xml version="1.0" encoding="UTF-8" standalone="yes"?>
<Relationships xmlns="http://schemas.openxmlformats.org/package/2006/relationships"><Relationship Id="rId8" Type="http://schemas.openxmlformats.org/officeDocument/2006/relationships/table" Target="../tables/table88.xml"/><Relationship Id="rId3" Type="http://schemas.openxmlformats.org/officeDocument/2006/relationships/table" Target="../tables/table83.xml"/><Relationship Id="rId7" Type="http://schemas.openxmlformats.org/officeDocument/2006/relationships/table" Target="../tables/table87.xml"/><Relationship Id="rId2" Type="http://schemas.openxmlformats.org/officeDocument/2006/relationships/table" Target="../tables/table82.xml"/><Relationship Id="rId1" Type="http://schemas.openxmlformats.org/officeDocument/2006/relationships/printerSettings" Target="../printerSettings/printerSettings12.bin"/><Relationship Id="rId6" Type="http://schemas.openxmlformats.org/officeDocument/2006/relationships/table" Target="../tables/table86.xml"/><Relationship Id="rId5" Type="http://schemas.openxmlformats.org/officeDocument/2006/relationships/table" Target="../tables/table85.xml"/><Relationship Id="rId4" Type="http://schemas.openxmlformats.org/officeDocument/2006/relationships/table" Target="../tables/table84.xml"/><Relationship Id="rId9" Type="http://schemas.openxmlformats.org/officeDocument/2006/relationships/table" Target="../tables/table89.xml"/></Relationships>
</file>

<file path=xl/worksheets/_rels/sheet13.xml.rels><?xml version="1.0" encoding="UTF-8" standalone="yes"?>
<Relationships xmlns="http://schemas.openxmlformats.org/package/2006/relationships"><Relationship Id="rId8" Type="http://schemas.openxmlformats.org/officeDocument/2006/relationships/table" Target="../tables/table96.xml"/><Relationship Id="rId3" Type="http://schemas.openxmlformats.org/officeDocument/2006/relationships/table" Target="../tables/table91.xml"/><Relationship Id="rId7" Type="http://schemas.openxmlformats.org/officeDocument/2006/relationships/table" Target="../tables/table95.xml"/><Relationship Id="rId2" Type="http://schemas.openxmlformats.org/officeDocument/2006/relationships/table" Target="../tables/table90.xml"/><Relationship Id="rId1" Type="http://schemas.openxmlformats.org/officeDocument/2006/relationships/printerSettings" Target="../printerSettings/printerSettings13.bin"/><Relationship Id="rId6" Type="http://schemas.openxmlformats.org/officeDocument/2006/relationships/table" Target="../tables/table94.xml"/><Relationship Id="rId5" Type="http://schemas.openxmlformats.org/officeDocument/2006/relationships/table" Target="../tables/table93.xml"/><Relationship Id="rId4" Type="http://schemas.openxmlformats.org/officeDocument/2006/relationships/table" Target="../tables/table92.xml"/><Relationship Id="rId9" Type="http://schemas.openxmlformats.org/officeDocument/2006/relationships/table" Target="../tables/table97.xml"/></Relationships>
</file>

<file path=xl/worksheets/_rels/sheet14.xml.rels><?xml version="1.0" encoding="UTF-8" standalone="yes"?>
<Relationships xmlns="http://schemas.openxmlformats.org/package/2006/relationships"><Relationship Id="rId8" Type="http://schemas.openxmlformats.org/officeDocument/2006/relationships/table" Target="../tables/table104.xml"/><Relationship Id="rId3" Type="http://schemas.openxmlformats.org/officeDocument/2006/relationships/table" Target="../tables/table99.xml"/><Relationship Id="rId7" Type="http://schemas.openxmlformats.org/officeDocument/2006/relationships/table" Target="../tables/table103.xml"/><Relationship Id="rId2" Type="http://schemas.openxmlformats.org/officeDocument/2006/relationships/table" Target="../tables/table98.xml"/><Relationship Id="rId1" Type="http://schemas.openxmlformats.org/officeDocument/2006/relationships/printerSettings" Target="../printerSettings/printerSettings14.bin"/><Relationship Id="rId6" Type="http://schemas.openxmlformats.org/officeDocument/2006/relationships/table" Target="../tables/table102.xml"/><Relationship Id="rId5" Type="http://schemas.openxmlformats.org/officeDocument/2006/relationships/table" Target="../tables/table101.xml"/><Relationship Id="rId4" Type="http://schemas.openxmlformats.org/officeDocument/2006/relationships/table" Target="../tables/table100.xml"/><Relationship Id="rId9" Type="http://schemas.openxmlformats.org/officeDocument/2006/relationships/table" Target="../tables/table105.xml"/></Relationships>
</file>

<file path=xl/worksheets/_rels/sheet15.xml.rels><?xml version="1.0" encoding="UTF-8" standalone="yes"?>
<Relationships xmlns="http://schemas.openxmlformats.org/package/2006/relationships"><Relationship Id="rId8" Type="http://schemas.openxmlformats.org/officeDocument/2006/relationships/table" Target="../tables/table112.xml"/><Relationship Id="rId3" Type="http://schemas.openxmlformats.org/officeDocument/2006/relationships/table" Target="../tables/table107.xml"/><Relationship Id="rId7" Type="http://schemas.openxmlformats.org/officeDocument/2006/relationships/table" Target="../tables/table111.xml"/><Relationship Id="rId2" Type="http://schemas.openxmlformats.org/officeDocument/2006/relationships/table" Target="../tables/table106.xml"/><Relationship Id="rId1" Type="http://schemas.openxmlformats.org/officeDocument/2006/relationships/printerSettings" Target="../printerSettings/printerSettings15.bin"/><Relationship Id="rId6" Type="http://schemas.openxmlformats.org/officeDocument/2006/relationships/table" Target="../tables/table110.xml"/><Relationship Id="rId5" Type="http://schemas.openxmlformats.org/officeDocument/2006/relationships/table" Target="../tables/table109.xml"/><Relationship Id="rId4" Type="http://schemas.openxmlformats.org/officeDocument/2006/relationships/table" Target="../tables/table108.xml"/><Relationship Id="rId9" Type="http://schemas.openxmlformats.org/officeDocument/2006/relationships/table" Target="../tables/table113.xml"/></Relationships>
</file>

<file path=xl/worksheets/_rels/sheet16.xml.rels><?xml version="1.0" encoding="UTF-8" standalone="yes"?>
<Relationships xmlns="http://schemas.openxmlformats.org/package/2006/relationships"><Relationship Id="rId8" Type="http://schemas.openxmlformats.org/officeDocument/2006/relationships/table" Target="../tables/table120.xml"/><Relationship Id="rId3" Type="http://schemas.openxmlformats.org/officeDocument/2006/relationships/table" Target="../tables/table115.xml"/><Relationship Id="rId7" Type="http://schemas.openxmlformats.org/officeDocument/2006/relationships/table" Target="../tables/table119.xml"/><Relationship Id="rId2" Type="http://schemas.openxmlformats.org/officeDocument/2006/relationships/table" Target="../tables/table114.xml"/><Relationship Id="rId1" Type="http://schemas.openxmlformats.org/officeDocument/2006/relationships/printerSettings" Target="../printerSettings/printerSettings16.bin"/><Relationship Id="rId6" Type="http://schemas.openxmlformats.org/officeDocument/2006/relationships/table" Target="../tables/table118.xml"/><Relationship Id="rId5" Type="http://schemas.openxmlformats.org/officeDocument/2006/relationships/table" Target="../tables/table117.xml"/><Relationship Id="rId4" Type="http://schemas.openxmlformats.org/officeDocument/2006/relationships/table" Target="../tables/table116.xml"/><Relationship Id="rId9" Type="http://schemas.openxmlformats.org/officeDocument/2006/relationships/table" Target="../tables/table121.xml"/></Relationships>
</file>

<file path=xl/worksheets/_rels/sheet17.xml.rels><?xml version="1.0" encoding="UTF-8" standalone="yes"?>
<Relationships xmlns="http://schemas.openxmlformats.org/package/2006/relationships"><Relationship Id="rId8" Type="http://schemas.openxmlformats.org/officeDocument/2006/relationships/table" Target="../tables/table128.xml"/><Relationship Id="rId3" Type="http://schemas.openxmlformats.org/officeDocument/2006/relationships/table" Target="../tables/table123.xml"/><Relationship Id="rId7" Type="http://schemas.openxmlformats.org/officeDocument/2006/relationships/table" Target="../tables/table127.xml"/><Relationship Id="rId2" Type="http://schemas.openxmlformats.org/officeDocument/2006/relationships/table" Target="../tables/table122.xml"/><Relationship Id="rId1" Type="http://schemas.openxmlformats.org/officeDocument/2006/relationships/printerSettings" Target="../printerSettings/printerSettings17.bin"/><Relationship Id="rId6" Type="http://schemas.openxmlformats.org/officeDocument/2006/relationships/table" Target="../tables/table126.xml"/><Relationship Id="rId5" Type="http://schemas.openxmlformats.org/officeDocument/2006/relationships/table" Target="../tables/table125.xml"/><Relationship Id="rId4" Type="http://schemas.openxmlformats.org/officeDocument/2006/relationships/table" Target="../tables/table124.xml"/><Relationship Id="rId9" Type="http://schemas.openxmlformats.org/officeDocument/2006/relationships/table" Target="../tables/table129.xml"/></Relationships>
</file>

<file path=xl/worksheets/_rels/sheet18.xml.rels><?xml version="1.0" encoding="UTF-8" standalone="yes"?>
<Relationships xmlns="http://schemas.openxmlformats.org/package/2006/relationships"><Relationship Id="rId8" Type="http://schemas.openxmlformats.org/officeDocument/2006/relationships/table" Target="../tables/table136.xml"/><Relationship Id="rId3" Type="http://schemas.openxmlformats.org/officeDocument/2006/relationships/table" Target="../tables/table131.xml"/><Relationship Id="rId7" Type="http://schemas.openxmlformats.org/officeDocument/2006/relationships/table" Target="../tables/table135.xml"/><Relationship Id="rId2" Type="http://schemas.openxmlformats.org/officeDocument/2006/relationships/table" Target="../tables/table130.xml"/><Relationship Id="rId1" Type="http://schemas.openxmlformats.org/officeDocument/2006/relationships/printerSettings" Target="../printerSettings/printerSettings18.bin"/><Relationship Id="rId6" Type="http://schemas.openxmlformats.org/officeDocument/2006/relationships/table" Target="../tables/table134.xml"/><Relationship Id="rId5" Type="http://schemas.openxmlformats.org/officeDocument/2006/relationships/table" Target="../tables/table133.xml"/><Relationship Id="rId4" Type="http://schemas.openxmlformats.org/officeDocument/2006/relationships/table" Target="../tables/table132.xml"/><Relationship Id="rId9" Type="http://schemas.openxmlformats.org/officeDocument/2006/relationships/table" Target="../tables/table137.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144.xml"/><Relationship Id="rId3" Type="http://schemas.openxmlformats.org/officeDocument/2006/relationships/table" Target="../tables/table139.xml"/><Relationship Id="rId7" Type="http://schemas.openxmlformats.org/officeDocument/2006/relationships/table" Target="../tables/table143.xml"/><Relationship Id="rId2" Type="http://schemas.openxmlformats.org/officeDocument/2006/relationships/table" Target="../tables/table138.xml"/><Relationship Id="rId1" Type="http://schemas.openxmlformats.org/officeDocument/2006/relationships/printerSettings" Target="../printerSettings/printerSettings19.bin"/><Relationship Id="rId6" Type="http://schemas.openxmlformats.org/officeDocument/2006/relationships/table" Target="../tables/table142.xml"/><Relationship Id="rId5" Type="http://schemas.openxmlformats.org/officeDocument/2006/relationships/table" Target="../tables/table141.xml"/><Relationship Id="rId4" Type="http://schemas.openxmlformats.org/officeDocument/2006/relationships/table" Target="../tables/table140.xml"/><Relationship Id="rId9" Type="http://schemas.openxmlformats.org/officeDocument/2006/relationships/table" Target="../tables/table145.xml"/></Relationships>
</file>

<file path=xl/worksheets/_rels/sheet2.xml.rels><?xml version="1.0" encoding="UTF-8" standalone="yes"?>
<Relationships xmlns="http://schemas.openxmlformats.org/package/2006/relationships"><Relationship Id="rId8" Type="http://schemas.openxmlformats.org/officeDocument/2006/relationships/table" Target="../tables/table8.xml"/><Relationship Id="rId3" Type="http://schemas.openxmlformats.org/officeDocument/2006/relationships/table" Target="../tables/table3.xml"/><Relationship Id="rId7" Type="http://schemas.openxmlformats.org/officeDocument/2006/relationships/table" Target="../tables/table7.xml"/><Relationship Id="rId2" Type="http://schemas.openxmlformats.org/officeDocument/2006/relationships/table" Target="../tables/table2.xml"/><Relationship Id="rId1" Type="http://schemas.openxmlformats.org/officeDocument/2006/relationships/printerSettings" Target="../printerSettings/printerSettings2.bin"/><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 Id="rId9" Type="http://schemas.openxmlformats.org/officeDocument/2006/relationships/table" Target="../tables/table9.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152.xml"/><Relationship Id="rId3" Type="http://schemas.openxmlformats.org/officeDocument/2006/relationships/table" Target="../tables/table147.xml"/><Relationship Id="rId7" Type="http://schemas.openxmlformats.org/officeDocument/2006/relationships/table" Target="../tables/table151.xml"/><Relationship Id="rId2" Type="http://schemas.openxmlformats.org/officeDocument/2006/relationships/table" Target="../tables/table146.xml"/><Relationship Id="rId1" Type="http://schemas.openxmlformats.org/officeDocument/2006/relationships/printerSettings" Target="../printerSettings/printerSettings20.bin"/><Relationship Id="rId6" Type="http://schemas.openxmlformats.org/officeDocument/2006/relationships/table" Target="../tables/table150.xml"/><Relationship Id="rId5" Type="http://schemas.openxmlformats.org/officeDocument/2006/relationships/table" Target="../tables/table149.xml"/><Relationship Id="rId4" Type="http://schemas.openxmlformats.org/officeDocument/2006/relationships/table" Target="../tables/table148.xml"/><Relationship Id="rId9" Type="http://schemas.openxmlformats.org/officeDocument/2006/relationships/table" Target="../tables/table153.xml"/></Relationships>
</file>

<file path=xl/worksheets/_rels/sheet21.xml.rels><?xml version="1.0" encoding="UTF-8" standalone="yes"?>
<Relationships xmlns="http://schemas.openxmlformats.org/package/2006/relationships"><Relationship Id="rId8" Type="http://schemas.openxmlformats.org/officeDocument/2006/relationships/table" Target="../tables/table160.xml"/><Relationship Id="rId3" Type="http://schemas.openxmlformats.org/officeDocument/2006/relationships/table" Target="../tables/table155.xml"/><Relationship Id="rId7" Type="http://schemas.openxmlformats.org/officeDocument/2006/relationships/table" Target="../tables/table159.xml"/><Relationship Id="rId2" Type="http://schemas.openxmlformats.org/officeDocument/2006/relationships/table" Target="../tables/table154.xml"/><Relationship Id="rId1" Type="http://schemas.openxmlformats.org/officeDocument/2006/relationships/printerSettings" Target="../printerSettings/printerSettings21.bin"/><Relationship Id="rId6" Type="http://schemas.openxmlformats.org/officeDocument/2006/relationships/table" Target="../tables/table158.xml"/><Relationship Id="rId5" Type="http://schemas.openxmlformats.org/officeDocument/2006/relationships/table" Target="../tables/table157.xml"/><Relationship Id="rId4" Type="http://schemas.openxmlformats.org/officeDocument/2006/relationships/table" Target="../tables/table156.xml"/><Relationship Id="rId9" Type="http://schemas.openxmlformats.org/officeDocument/2006/relationships/table" Target="../tables/table161.xml"/></Relationships>
</file>

<file path=xl/worksheets/_rels/sheet22.xml.rels><?xml version="1.0" encoding="UTF-8" standalone="yes"?>
<Relationships xmlns="http://schemas.openxmlformats.org/package/2006/relationships"><Relationship Id="rId8" Type="http://schemas.openxmlformats.org/officeDocument/2006/relationships/table" Target="../tables/table168.xml"/><Relationship Id="rId3" Type="http://schemas.openxmlformats.org/officeDocument/2006/relationships/table" Target="../tables/table163.xml"/><Relationship Id="rId7" Type="http://schemas.openxmlformats.org/officeDocument/2006/relationships/table" Target="../tables/table167.xml"/><Relationship Id="rId2" Type="http://schemas.openxmlformats.org/officeDocument/2006/relationships/table" Target="../tables/table162.xml"/><Relationship Id="rId1" Type="http://schemas.openxmlformats.org/officeDocument/2006/relationships/printerSettings" Target="../printerSettings/printerSettings22.bin"/><Relationship Id="rId6" Type="http://schemas.openxmlformats.org/officeDocument/2006/relationships/table" Target="../tables/table166.xml"/><Relationship Id="rId5" Type="http://schemas.openxmlformats.org/officeDocument/2006/relationships/table" Target="../tables/table165.xml"/><Relationship Id="rId4" Type="http://schemas.openxmlformats.org/officeDocument/2006/relationships/table" Target="../tables/table164.xml"/><Relationship Id="rId9" Type="http://schemas.openxmlformats.org/officeDocument/2006/relationships/table" Target="../tables/table169.xml"/></Relationships>
</file>

<file path=xl/worksheets/_rels/sheet23.xml.rels><?xml version="1.0" encoding="UTF-8" standalone="yes"?>
<Relationships xmlns="http://schemas.openxmlformats.org/package/2006/relationships"><Relationship Id="rId8" Type="http://schemas.openxmlformats.org/officeDocument/2006/relationships/table" Target="../tables/table176.xml"/><Relationship Id="rId3" Type="http://schemas.openxmlformats.org/officeDocument/2006/relationships/table" Target="../tables/table171.xml"/><Relationship Id="rId7" Type="http://schemas.openxmlformats.org/officeDocument/2006/relationships/table" Target="../tables/table175.xml"/><Relationship Id="rId2" Type="http://schemas.openxmlformats.org/officeDocument/2006/relationships/table" Target="../tables/table170.xml"/><Relationship Id="rId1" Type="http://schemas.openxmlformats.org/officeDocument/2006/relationships/printerSettings" Target="../printerSettings/printerSettings23.bin"/><Relationship Id="rId6" Type="http://schemas.openxmlformats.org/officeDocument/2006/relationships/table" Target="../tables/table174.xml"/><Relationship Id="rId5" Type="http://schemas.openxmlformats.org/officeDocument/2006/relationships/table" Target="../tables/table173.xml"/><Relationship Id="rId4" Type="http://schemas.openxmlformats.org/officeDocument/2006/relationships/table" Target="../tables/table172.xml"/><Relationship Id="rId9" Type="http://schemas.openxmlformats.org/officeDocument/2006/relationships/table" Target="../tables/table177.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184.xml"/><Relationship Id="rId3" Type="http://schemas.openxmlformats.org/officeDocument/2006/relationships/table" Target="../tables/table179.xml"/><Relationship Id="rId7" Type="http://schemas.openxmlformats.org/officeDocument/2006/relationships/table" Target="../tables/table183.xml"/><Relationship Id="rId2" Type="http://schemas.openxmlformats.org/officeDocument/2006/relationships/table" Target="../tables/table178.xml"/><Relationship Id="rId1" Type="http://schemas.openxmlformats.org/officeDocument/2006/relationships/printerSettings" Target="../printerSettings/printerSettings24.bin"/><Relationship Id="rId6" Type="http://schemas.openxmlformats.org/officeDocument/2006/relationships/table" Target="../tables/table182.xml"/><Relationship Id="rId5" Type="http://schemas.openxmlformats.org/officeDocument/2006/relationships/table" Target="../tables/table181.xml"/><Relationship Id="rId4" Type="http://schemas.openxmlformats.org/officeDocument/2006/relationships/table" Target="../tables/table180.xml"/><Relationship Id="rId9" Type="http://schemas.openxmlformats.org/officeDocument/2006/relationships/table" Target="../tables/table185.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192.xml"/><Relationship Id="rId3" Type="http://schemas.openxmlformats.org/officeDocument/2006/relationships/table" Target="../tables/table187.xml"/><Relationship Id="rId7" Type="http://schemas.openxmlformats.org/officeDocument/2006/relationships/table" Target="../tables/table191.xml"/><Relationship Id="rId2" Type="http://schemas.openxmlformats.org/officeDocument/2006/relationships/table" Target="../tables/table186.xml"/><Relationship Id="rId1" Type="http://schemas.openxmlformats.org/officeDocument/2006/relationships/printerSettings" Target="../printerSettings/printerSettings25.bin"/><Relationship Id="rId6" Type="http://schemas.openxmlformats.org/officeDocument/2006/relationships/table" Target="../tables/table190.xml"/><Relationship Id="rId5" Type="http://schemas.openxmlformats.org/officeDocument/2006/relationships/table" Target="../tables/table189.xml"/><Relationship Id="rId4" Type="http://schemas.openxmlformats.org/officeDocument/2006/relationships/table" Target="../tables/table188.xml"/><Relationship Id="rId9" Type="http://schemas.openxmlformats.org/officeDocument/2006/relationships/table" Target="../tables/table193.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200.xml"/><Relationship Id="rId3" Type="http://schemas.openxmlformats.org/officeDocument/2006/relationships/table" Target="../tables/table195.xml"/><Relationship Id="rId7" Type="http://schemas.openxmlformats.org/officeDocument/2006/relationships/table" Target="../tables/table199.xml"/><Relationship Id="rId2" Type="http://schemas.openxmlformats.org/officeDocument/2006/relationships/table" Target="../tables/table194.xml"/><Relationship Id="rId1" Type="http://schemas.openxmlformats.org/officeDocument/2006/relationships/printerSettings" Target="../printerSettings/printerSettings26.bin"/><Relationship Id="rId6" Type="http://schemas.openxmlformats.org/officeDocument/2006/relationships/table" Target="../tables/table198.xml"/><Relationship Id="rId5" Type="http://schemas.openxmlformats.org/officeDocument/2006/relationships/table" Target="../tables/table197.xml"/><Relationship Id="rId4" Type="http://schemas.openxmlformats.org/officeDocument/2006/relationships/table" Target="../tables/table196.xml"/><Relationship Id="rId9" Type="http://schemas.openxmlformats.org/officeDocument/2006/relationships/table" Target="../tables/table201.xml"/></Relationships>
</file>

<file path=xl/worksheets/_rels/sheet27.xml.rels><?xml version="1.0" encoding="UTF-8" standalone="yes"?>
<Relationships xmlns="http://schemas.openxmlformats.org/package/2006/relationships"><Relationship Id="rId8" Type="http://schemas.openxmlformats.org/officeDocument/2006/relationships/table" Target="../tables/table208.xml"/><Relationship Id="rId3" Type="http://schemas.openxmlformats.org/officeDocument/2006/relationships/table" Target="../tables/table203.xml"/><Relationship Id="rId7" Type="http://schemas.openxmlformats.org/officeDocument/2006/relationships/table" Target="../tables/table207.xml"/><Relationship Id="rId2" Type="http://schemas.openxmlformats.org/officeDocument/2006/relationships/table" Target="../tables/table202.xml"/><Relationship Id="rId1" Type="http://schemas.openxmlformats.org/officeDocument/2006/relationships/printerSettings" Target="../printerSettings/printerSettings27.bin"/><Relationship Id="rId6" Type="http://schemas.openxmlformats.org/officeDocument/2006/relationships/table" Target="../tables/table206.xml"/><Relationship Id="rId5" Type="http://schemas.openxmlformats.org/officeDocument/2006/relationships/table" Target="../tables/table205.xml"/><Relationship Id="rId4" Type="http://schemas.openxmlformats.org/officeDocument/2006/relationships/table" Target="../tables/table204.xml"/><Relationship Id="rId9" Type="http://schemas.openxmlformats.org/officeDocument/2006/relationships/table" Target="../tables/table209.xml"/></Relationships>
</file>

<file path=xl/worksheets/_rels/sheet28.xml.rels><?xml version="1.0" encoding="UTF-8" standalone="yes"?>
<Relationships xmlns="http://schemas.openxmlformats.org/package/2006/relationships"><Relationship Id="rId8" Type="http://schemas.openxmlformats.org/officeDocument/2006/relationships/table" Target="../tables/table216.xml"/><Relationship Id="rId3" Type="http://schemas.openxmlformats.org/officeDocument/2006/relationships/table" Target="../tables/table211.xml"/><Relationship Id="rId7" Type="http://schemas.openxmlformats.org/officeDocument/2006/relationships/table" Target="../tables/table215.xml"/><Relationship Id="rId2" Type="http://schemas.openxmlformats.org/officeDocument/2006/relationships/table" Target="../tables/table210.xml"/><Relationship Id="rId1" Type="http://schemas.openxmlformats.org/officeDocument/2006/relationships/printerSettings" Target="../printerSettings/printerSettings28.bin"/><Relationship Id="rId6" Type="http://schemas.openxmlformats.org/officeDocument/2006/relationships/table" Target="../tables/table214.xml"/><Relationship Id="rId5" Type="http://schemas.openxmlformats.org/officeDocument/2006/relationships/table" Target="../tables/table213.xml"/><Relationship Id="rId4" Type="http://schemas.openxmlformats.org/officeDocument/2006/relationships/table" Target="../tables/table212.xml"/><Relationship Id="rId9" Type="http://schemas.openxmlformats.org/officeDocument/2006/relationships/table" Target="../tables/table217.xml"/></Relationships>
</file>

<file path=xl/worksheets/_rels/sheet29.xml.rels><?xml version="1.0" encoding="UTF-8" standalone="yes"?>
<Relationships xmlns="http://schemas.openxmlformats.org/package/2006/relationships"><Relationship Id="rId8" Type="http://schemas.openxmlformats.org/officeDocument/2006/relationships/table" Target="../tables/table224.xml"/><Relationship Id="rId3" Type="http://schemas.openxmlformats.org/officeDocument/2006/relationships/table" Target="../tables/table219.xml"/><Relationship Id="rId7" Type="http://schemas.openxmlformats.org/officeDocument/2006/relationships/table" Target="../tables/table223.xml"/><Relationship Id="rId2" Type="http://schemas.openxmlformats.org/officeDocument/2006/relationships/table" Target="../tables/table218.xml"/><Relationship Id="rId1" Type="http://schemas.openxmlformats.org/officeDocument/2006/relationships/printerSettings" Target="../printerSettings/printerSettings29.bin"/><Relationship Id="rId6" Type="http://schemas.openxmlformats.org/officeDocument/2006/relationships/table" Target="../tables/table222.xml"/><Relationship Id="rId5" Type="http://schemas.openxmlformats.org/officeDocument/2006/relationships/table" Target="../tables/table221.xml"/><Relationship Id="rId4" Type="http://schemas.openxmlformats.org/officeDocument/2006/relationships/table" Target="../tables/table220.xml"/><Relationship Id="rId9" Type="http://schemas.openxmlformats.org/officeDocument/2006/relationships/table" Target="../tables/table225.xml"/></Relationships>
</file>

<file path=xl/worksheets/_rels/sheet3.xml.rels><?xml version="1.0" encoding="UTF-8" standalone="yes"?>
<Relationships xmlns="http://schemas.openxmlformats.org/package/2006/relationships"><Relationship Id="rId8" Type="http://schemas.openxmlformats.org/officeDocument/2006/relationships/table" Target="../tables/table16.xml"/><Relationship Id="rId3" Type="http://schemas.openxmlformats.org/officeDocument/2006/relationships/table" Target="../tables/table11.xml"/><Relationship Id="rId7" Type="http://schemas.openxmlformats.org/officeDocument/2006/relationships/table" Target="../tables/table15.xml"/><Relationship Id="rId2" Type="http://schemas.openxmlformats.org/officeDocument/2006/relationships/table" Target="../tables/table10.xml"/><Relationship Id="rId1" Type="http://schemas.openxmlformats.org/officeDocument/2006/relationships/printerSettings" Target="../printerSettings/printerSettings3.bin"/><Relationship Id="rId6" Type="http://schemas.openxmlformats.org/officeDocument/2006/relationships/table" Target="../tables/table14.xml"/><Relationship Id="rId5" Type="http://schemas.openxmlformats.org/officeDocument/2006/relationships/table" Target="../tables/table13.xml"/><Relationship Id="rId4" Type="http://schemas.openxmlformats.org/officeDocument/2006/relationships/table" Target="../tables/table12.xml"/><Relationship Id="rId9" Type="http://schemas.openxmlformats.org/officeDocument/2006/relationships/table" Target="../tables/table17.xml"/></Relationships>
</file>

<file path=xl/worksheets/_rels/sheet30.xml.rels><?xml version="1.0" encoding="UTF-8" standalone="yes"?>
<Relationships xmlns="http://schemas.openxmlformats.org/package/2006/relationships"><Relationship Id="rId8" Type="http://schemas.openxmlformats.org/officeDocument/2006/relationships/table" Target="../tables/table232.xml"/><Relationship Id="rId3" Type="http://schemas.openxmlformats.org/officeDocument/2006/relationships/table" Target="../tables/table227.xml"/><Relationship Id="rId7" Type="http://schemas.openxmlformats.org/officeDocument/2006/relationships/table" Target="../tables/table231.xml"/><Relationship Id="rId2" Type="http://schemas.openxmlformats.org/officeDocument/2006/relationships/table" Target="../tables/table226.xml"/><Relationship Id="rId1" Type="http://schemas.openxmlformats.org/officeDocument/2006/relationships/printerSettings" Target="../printerSettings/printerSettings30.bin"/><Relationship Id="rId6" Type="http://schemas.openxmlformats.org/officeDocument/2006/relationships/table" Target="../tables/table230.xml"/><Relationship Id="rId5" Type="http://schemas.openxmlformats.org/officeDocument/2006/relationships/table" Target="../tables/table229.xml"/><Relationship Id="rId4" Type="http://schemas.openxmlformats.org/officeDocument/2006/relationships/table" Target="../tables/table228.xml"/><Relationship Id="rId9" Type="http://schemas.openxmlformats.org/officeDocument/2006/relationships/table" Target="../tables/table233.xml"/></Relationships>
</file>

<file path=xl/worksheets/_rels/sheet31.xml.rels><?xml version="1.0" encoding="UTF-8" standalone="yes"?>
<Relationships xmlns="http://schemas.openxmlformats.org/package/2006/relationships"><Relationship Id="rId8" Type="http://schemas.openxmlformats.org/officeDocument/2006/relationships/table" Target="../tables/table240.xml"/><Relationship Id="rId3" Type="http://schemas.openxmlformats.org/officeDocument/2006/relationships/table" Target="../tables/table235.xml"/><Relationship Id="rId7" Type="http://schemas.openxmlformats.org/officeDocument/2006/relationships/table" Target="../tables/table239.xml"/><Relationship Id="rId2" Type="http://schemas.openxmlformats.org/officeDocument/2006/relationships/table" Target="../tables/table234.xml"/><Relationship Id="rId1" Type="http://schemas.openxmlformats.org/officeDocument/2006/relationships/printerSettings" Target="../printerSettings/printerSettings31.bin"/><Relationship Id="rId6" Type="http://schemas.openxmlformats.org/officeDocument/2006/relationships/table" Target="../tables/table238.xml"/><Relationship Id="rId5" Type="http://schemas.openxmlformats.org/officeDocument/2006/relationships/table" Target="../tables/table237.xml"/><Relationship Id="rId4" Type="http://schemas.openxmlformats.org/officeDocument/2006/relationships/table" Target="../tables/table236.xml"/><Relationship Id="rId9" Type="http://schemas.openxmlformats.org/officeDocument/2006/relationships/table" Target="../tables/table241.xml"/></Relationships>
</file>

<file path=xl/worksheets/_rels/sheet32.xml.rels><?xml version="1.0" encoding="UTF-8" standalone="yes"?>
<Relationships xmlns="http://schemas.openxmlformats.org/package/2006/relationships"><Relationship Id="rId8" Type="http://schemas.openxmlformats.org/officeDocument/2006/relationships/table" Target="../tables/table248.xml"/><Relationship Id="rId3" Type="http://schemas.openxmlformats.org/officeDocument/2006/relationships/table" Target="../tables/table243.xml"/><Relationship Id="rId7" Type="http://schemas.openxmlformats.org/officeDocument/2006/relationships/table" Target="../tables/table247.xml"/><Relationship Id="rId2" Type="http://schemas.openxmlformats.org/officeDocument/2006/relationships/table" Target="../tables/table242.xml"/><Relationship Id="rId1" Type="http://schemas.openxmlformats.org/officeDocument/2006/relationships/printerSettings" Target="../printerSettings/printerSettings32.bin"/><Relationship Id="rId6" Type="http://schemas.openxmlformats.org/officeDocument/2006/relationships/table" Target="../tables/table246.xml"/><Relationship Id="rId5" Type="http://schemas.openxmlformats.org/officeDocument/2006/relationships/table" Target="../tables/table245.xml"/><Relationship Id="rId4" Type="http://schemas.openxmlformats.org/officeDocument/2006/relationships/table" Target="../tables/table244.xml"/><Relationship Id="rId9" Type="http://schemas.openxmlformats.org/officeDocument/2006/relationships/table" Target="../tables/table249.xml"/></Relationships>
</file>

<file path=xl/worksheets/_rels/sheet33.xml.rels><?xml version="1.0" encoding="UTF-8" standalone="yes"?>
<Relationships xmlns="http://schemas.openxmlformats.org/package/2006/relationships"><Relationship Id="rId8" Type="http://schemas.openxmlformats.org/officeDocument/2006/relationships/table" Target="../tables/table256.xml"/><Relationship Id="rId3" Type="http://schemas.openxmlformats.org/officeDocument/2006/relationships/table" Target="../tables/table251.xml"/><Relationship Id="rId7" Type="http://schemas.openxmlformats.org/officeDocument/2006/relationships/table" Target="../tables/table255.xml"/><Relationship Id="rId2" Type="http://schemas.openxmlformats.org/officeDocument/2006/relationships/table" Target="../tables/table250.xml"/><Relationship Id="rId1" Type="http://schemas.openxmlformats.org/officeDocument/2006/relationships/printerSettings" Target="../printerSettings/printerSettings33.bin"/><Relationship Id="rId6" Type="http://schemas.openxmlformats.org/officeDocument/2006/relationships/table" Target="../tables/table254.xml"/><Relationship Id="rId5" Type="http://schemas.openxmlformats.org/officeDocument/2006/relationships/table" Target="../tables/table253.xml"/><Relationship Id="rId4" Type="http://schemas.openxmlformats.org/officeDocument/2006/relationships/table" Target="../tables/table252.xml"/><Relationship Id="rId9" Type="http://schemas.openxmlformats.org/officeDocument/2006/relationships/table" Target="../tables/table257.xml"/></Relationships>
</file>

<file path=xl/worksheets/_rels/sheet34.xml.rels><?xml version="1.0" encoding="UTF-8" standalone="yes"?>
<Relationships xmlns="http://schemas.openxmlformats.org/package/2006/relationships"><Relationship Id="rId8" Type="http://schemas.openxmlformats.org/officeDocument/2006/relationships/table" Target="../tables/table264.xml"/><Relationship Id="rId3" Type="http://schemas.openxmlformats.org/officeDocument/2006/relationships/table" Target="../tables/table259.xml"/><Relationship Id="rId7" Type="http://schemas.openxmlformats.org/officeDocument/2006/relationships/table" Target="../tables/table263.xml"/><Relationship Id="rId2" Type="http://schemas.openxmlformats.org/officeDocument/2006/relationships/table" Target="../tables/table258.xml"/><Relationship Id="rId1" Type="http://schemas.openxmlformats.org/officeDocument/2006/relationships/printerSettings" Target="../printerSettings/printerSettings34.bin"/><Relationship Id="rId6" Type="http://schemas.openxmlformats.org/officeDocument/2006/relationships/table" Target="../tables/table262.xml"/><Relationship Id="rId5" Type="http://schemas.openxmlformats.org/officeDocument/2006/relationships/table" Target="../tables/table261.xml"/><Relationship Id="rId4" Type="http://schemas.openxmlformats.org/officeDocument/2006/relationships/table" Target="../tables/table260.xml"/><Relationship Id="rId9" Type="http://schemas.openxmlformats.org/officeDocument/2006/relationships/table" Target="../tables/table265.xml"/></Relationships>
</file>

<file path=xl/worksheets/_rels/sheet35.xml.rels><?xml version="1.0" encoding="UTF-8" standalone="yes"?>
<Relationships xmlns="http://schemas.openxmlformats.org/package/2006/relationships"><Relationship Id="rId8" Type="http://schemas.openxmlformats.org/officeDocument/2006/relationships/table" Target="../tables/table272.xml"/><Relationship Id="rId3" Type="http://schemas.openxmlformats.org/officeDocument/2006/relationships/table" Target="../tables/table267.xml"/><Relationship Id="rId7" Type="http://schemas.openxmlformats.org/officeDocument/2006/relationships/table" Target="../tables/table271.xml"/><Relationship Id="rId2" Type="http://schemas.openxmlformats.org/officeDocument/2006/relationships/table" Target="../tables/table266.xml"/><Relationship Id="rId1" Type="http://schemas.openxmlformats.org/officeDocument/2006/relationships/printerSettings" Target="../printerSettings/printerSettings35.bin"/><Relationship Id="rId6" Type="http://schemas.openxmlformats.org/officeDocument/2006/relationships/table" Target="../tables/table270.xml"/><Relationship Id="rId5" Type="http://schemas.openxmlformats.org/officeDocument/2006/relationships/table" Target="../tables/table269.xml"/><Relationship Id="rId4" Type="http://schemas.openxmlformats.org/officeDocument/2006/relationships/table" Target="../tables/table268.xml"/><Relationship Id="rId9" Type="http://schemas.openxmlformats.org/officeDocument/2006/relationships/table" Target="../tables/table273.xml"/></Relationships>
</file>

<file path=xl/worksheets/_rels/sheet36.xml.rels><?xml version="1.0" encoding="UTF-8" standalone="yes"?>
<Relationships xmlns="http://schemas.openxmlformats.org/package/2006/relationships"><Relationship Id="rId8" Type="http://schemas.openxmlformats.org/officeDocument/2006/relationships/table" Target="../tables/table280.xml"/><Relationship Id="rId3" Type="http://schemas.openxmlformats.org/officeDocument/2006/relationships/table" Target="../tables/table275.xml"/><Relationship Id="rId7" Type="http://schemas.openxmlformats.org/officeDocument/2006/relationships/table" Target="../tables/table279.xml"/><Relationship Id="rId2" Type="http://schemas.openxmlformats.org/officeDocument/2006/relationships/table" Target="../tables/table274.xml"/><Relationship Id="rId1" Type="http://schemas.openxmlformats.org/officeDocument/2006/relationships/printerSettings" Target="../printerSettings/printerSettings36.bin"/><Relationship Id="rId6" Type="http://schemas.openxmlformats.org/officeDocument/2006/relationships/table" Target="../tables/table278.xml"/><Relationship Id="rId5" Type="http://schemas.openxmlformats.org/officeDocument/2006/relationships/table" Target="../tables/table277.xml"/><Relationship Id="rId4" Type="http://schemas.openxmlformats.org/officeDocument/2006/relationships/table" Target="../tables/table276.xml"/><Relationship Id="rId9" Type="http://schemas.openxmlformats.org/officeDocument/2006/relationships/table" Target="../tables/table281.xml"/></Relationships>
</file>

<file path=xl/worksheets/_rels/sheet37.xml.rels><?xml version="1.0" encoding="UTF-8" standalone="yes"?>
<Relationships xmlns="http://schemas.openxmlformats.org/package/2006/relationships"><Relationship Id="rId8" Type="http://schemas.openxmlformats.org/officeDocument/2006/relationships/table" Target="../tables/table288.xml"/><Relationship Id="rId3" Type="http://schemas.openxmlformats.org/officeDocument/2006/relationships/table" Target="../tables/table283.xml"/><Relationship Id="rId7" Type="http://schemas.openxmlformats.org/officeDocument/2006/relationships/table" Target="../tables/table287.xml"/><Relationship Id="rId2" Type="http://schemas.openxmlformats.org/officeDocument/2006/relationships/table" Target="../tables/table282.xml"/><Relationship Id="rId1" Type="http://schemas.openxmlformats.org/officeDocument/2006/relationships/printerSettings" Target="../printerSettings/printerSettings37.bin"/><Relationship Id="rId6" Type="http://schemas.openxmlformats.org/officeDocument/2006/relationships/table" Target="../tables/table286.xml"/><Relationship Id="rId5" Type="http://schemas.openxmlformats.org/officeDocument/2006/relationships/table" Target="../tables/table285.xml"/><Relationship Id="rId4" Type="http://schemas.openxmlformats.org/officeDocument/2006/relationships/table" Target="../tables/table284.xml"/><Relationship Id="rId9" Type="http://schemas.openxmlformats.org/officeDocument/2006/relationships/table" Target="../tables/table289.xml"/></Relationships>
</file>

<file path=xl/worksheets/_rels/sheet38.xml.rels><?xml version="1.0" encoding="UTF-8" standalone="yes"?>
<Relationships xmlns="http://schemas.openxmlformats.org/package/2006/relationships"><Relationship Id="rId8" Type="http://schemas.openxmlformats.org/officeDocument/2006/relationships/table" Target="../tables/table296.xml"/><Relationship Id="rId3" Type="http://schemas.openxmlformats.org/officeDocument/2006/relationships/table" Target="../tables/table291.xml"/><Relationship Id="rId7" Type="http://schemas.openxmlformats.org/officeDocument/2006/relationships/table" Target="../tables/table295.xml"/><Relationship Id="rId2" Type="http://schemas.openxmlformats.org/officeDocument/2006/relationships/table" Target="../tables/table290.xml"/><Relationship Id="rId1" Type="http://schemas.openxmlformats.org/officeDocument/2006/relationships/printerSettings" Target="../printerSettings/printerSettings38.bin"/><Relationship Id="rId6" Type="http://schemas.openxmlformats.org/officeDocument/2006/relationships/table" Target="../tables/table294.xml"/><Relationship Id="rId5" Type="http://schemas.openxmlformats.org/officeDocument/2006/relationships/table" Target="../tables/table293.xml"/><Relationship Id="rId4" Type="http://schemas.openxmlformats.org/officeDocument/2006/relationships/table" Target="../tables/table292.xml"/><Relationship Id="rId9" Type="http://schemas.openxmlformats.org/officeDocument/2006/relationships/table" Target="../tables/table297.xml"/></Relationships>
</file>

<file path=xl/worksheets/_rels/sheet39.xml.rels><?xml version="1.0" encoding="UTF-8" standalone="yes"?>
<Relationships xmlns="http://schemas.openxmlformats.org/package/2006/relationships"><Relationship Id="rId8" Type="http://schemas.openxmlformats.org/officeDocument/2006/relationships/table" Target="../tables/table304.xml"/><Relationship Id="rId3" Type="http://schemas.openxmlformats.org/officeDocument/2006/relationships/table" Target="../tables/table299.xml"/><Relationship Id="rId7" Type="http://schemas.openxmlformats.org/officeDocument/2006/relationships/table" Target="../tables/table303.xml"/><Relationship Id="rId2" Type="http://schemas.openxmlformats.org/officeDocument/2006/relationships/table" Target="../tables/table298.xml"/><Relationship Id="rId1" Type="http://schemas.openxmlformats.org/officeDocument/2006/relationships/printerSettings" Target="../printerSettings/printerSettings39.bin"/><Relationship Id="rId6" Type="http://schemas.openxmlformats.org/officeDocument/2006/relationships/table" Target="../tables/table302.xml"/><Relationship Id="rId5" Type="http://schemas.openxmlformats.org/officeDocument/2006/relationships/table" Target="../tables/table301.xml"/><Relationship Id="rId4" Type="http://schemas.openxmlformats.org/officeDocument/2006/relationships/table" Target="../tables/table300.xml"/><Relationship Id="rId9" Type="http://schemas.openxmlformats.org/officeDocument/2006/relationships/table" Target="../tables/table305.xml"/></Relationships>
</file>

<file path=xl/worksheets/_rels/sheet4.xml.rels><?xml version="1.0" encoding="UTF-8" standalone="yes"?>
<Relationships xmlns="http://schemas.openxmlformats.org/package/2006/relationships"><Relationship Id="rId8" Type="http://schemas.openxmlformats.org/officeDocument/2006/relationships/table" Target="../tables/table24.xml"/><Relationship Id="rId3" Type="http://schemas.openxmlformats.org/officeDocument/2006/relationships/table" Target="../tables/table19.xml"/><Relationship Id="rId7" Type="http://schemas.openxmlformats.org/officeDocument/2006/relationships/table" Target="../tables/table23.xml"/><Relationship Id="rId2" Type="http://schemas.openxmlformats.org/officeDocument/2006/relationships/table" Target="../tables/table18.xml"/><Relationship Id="rId1" Type="http://schemas.openxmlformats.org/officeDocument/2006/relationships/printerSettings" Target="../printerSettings/printerSettings4.bin"/><Relationship Id="rId6" Type="http://schemas.openxmlformats.org/officeDocument/2006/relationships/table" Target="../tables/table22.xml"/><Relationship Id="rId5" Type="http://schemas.openxmlformats.org/officeDocument/2006/relationships/table" Target="../tables/table21.xml"/><Relationship Id="rId4" Type="http://schemas.openxmlformats.org/officeDocument/2006/relationships/table" Target="../tables/table20.xml"/><Relationship Id="rId9" Type="http://schemas.openxmlformats.org/officeDocument/2006/relationships/table" Target="../tables/table25.xml"/></Relationships>
</file>

<file path=xl/worksheets/_rels/sheet40.xml.rels><?xml version="1.0" encoding="UTF-8" standalone="yes"?>
<Relationships xmlns="http://schemas.openxmlformats.org/package/2006/relationships"><Relationship Id="rId8" Type="http://schemas.openxmlformats.org/officeDocument/2006/relationships/table" Target="../tables/table312.xml"/><Relationship Id="rId3" Type="http://schemas.openxmlformats.org/officeDocument/2006/relationships/table" Target="../tables/table307.xml"/><Relationship Id="rId7" Type="http://schemas.openxmlformats.org/officeDocument/2006/relationships/table" Target="../tables/table311.xml"/><Relationship Id="rId2" Type="http://schemas.openxmlformats.org/officeDocument/2006/relationships/table" Target="../tables/table306.xml"/><Relationship Id="rId1" Type="http://schemas.openxmlformats.org/officeDocument/2006/relationships/printerSettings" Target="../printerSettings/printerSettings40.bin"/><Relationship Id="rId6" Type="http://schemas.openxmlformats.org/officeDocument/2006/relationships/table" Target="../tables/table310.xml"/><Relationship Id="rId5" Type="http://schemas.openxmlformats.org/officeDocument/2006/relationships/table" Target="../tables/table309.xml"/><Relationship Id="rId4" Type="http://schemas.openxmlformats.org/officeDocument/2006/relationships/table" Target="../tables/table308.xml"/><Relationship Id="rId9" Type="http://schemas.openxmlformats.org/officeDocument/2006/relationships/table" Target="../tables/table313.xml"/></Relationships>
</file>

<file path=xl/worksheets/_rels/sheet41.xml.rels><?xml version="1.0" encoding="UTF-8" standalone="yes"?>
<Relationships xmlns="http://schemas.openxmlformats.org/package/2006/relationships"><Relationship Id="rId8" Type="http://schemas.openxmlformats.org/officeDocument/2006/relationships/table" Target="../tables/table320.xml"/><Relationship Id="rId3" Type="http://schemas.openxmlformats.org/officeDocument/2006/relationships/table" Target="../tables/table315.xml"/><Relationship Id="rId7" Type="http://schemas.openxmlformats.org/officeDocument/2006/relationships/table" Target="../tables/table319.xml"/><Relationship Id="rId2" Type="http://schemas.openxmlformats.org/officeDocument/2006/relationships/table" Target="../tables/table314.xml"/><Relationship Id="rId1" Type="http://schemas.openxmlformats.org/officeDocument/2006/relationships/printerSettings" Target="../printerSettings/printerSettings41.bin"/><Relationship Id="rId6" Type="http://schemas.openxmlformats.org/officeDocument/2006/relationships/table" Target="../tables/table318.xml"/><Relationship Id="rId5" Type="http://schemas.openxmlformats.org/officeDocument/2006/relationships/table" Target="../tables/table317.xml"/><Relationship Id="rId4" Type="http://schemas.openxmlformats.org/officeDocument/2006/relationships/table" Target="../tables/table316.xml"/><Relationship Id="rId9" Type="http://schemas.openxmlformats.org/officeDocument/2006/relationships/table" Target="../tables/table321.xml"/></Relationships>
</file>

<file path=xl/worksheets/_rels/sheet42.xml.rels><?xml version="1.0" encoding="UTF-8" standalone="yes"?>
<Relationships xmlns="http://schemas.openxmlformats.org/package/2006/relationships"><Relationship Id="rId8" Type="http://schemas.openxmlformats.org/officeDocument/2006/relationships/table" Target="../tables/table328.xml"/><Relationship Id="rId3" Type="http://schemas.openxmlformats.org/officeDocument/2006/relationships/table" Target="../tables/table323.xml"/><Relationship Id="rId7" Type="http://schemas.openxmlformats.org/officeDocument/2006/relationships/table" Target="../tables/table327.xml"/><Relationship Id="rId2" Type="http://schemas.openxmlformats.org/officeDocument/2006/relationships/table" Target="../tables/table322.xml"/><Relationship Id="rId1" Type="http://schemas.openxmlformats.org/officeDocument/2006/relationships/printerSettings" Target="../printerSettings/printerSettings42.bin"/><Relationship Id="rId6" Type="http://schemas.openxmlformats.org/officeDocument/2006/relationships/table" Target="../tables/table326.xml"/><Relationship Id="rId5" Type="http://schemas.openxmlformats.org/officeDocument/2006/relationships/table" Target="../tables/table325.xml"/><Relationship Id="rId4" Type="http://schemas.openxmlformats.org/officeDocument/2006/relationships/table" Target="../tables/table324.xml"/><Relationship Id="rId9" Type="http://schemas.openxmlformats.org/officeDocument/2006/relationships/table" Target="../tables/table329.xml"/></Relationships>
</file>

<file path=xl/worksheets/_rels/sheet43.xml.rels><?xml version="1.0" encoding="UTF-8" standalone="yes"?>
<Relationships xmlns="http://schemas.openxmlformats.org/package/2006/relationships"><Relationship Id="rId8" Type="http://schemas.openxmlformats.org/officeDocument/2006/relationships/table" Target="../tables/table336.xml"/><Relationship Id="rId3" Type="http://schemas.openxmlformats.org/officeDocument/2006/relationships/table" Target="../tables/table331.xml"/><Relationship Id="rId7" Type="http://schemas.openxmlformats.org/officeDocument/2006/relationships/table" Target="../tables/table335.xml"/><Relationship Id="rId2" Type="http://schemas.openxmlformats.org/officeDocument/2006/relationships/table" Target="../tables/table330.xml"/><Relationship Id="rId1" Type="http://schemas.openxmlformats.org/officeDocument/2006/relationships/printerSettings" Target="../printerSettings/printerSettings43.bin"/><Relationship Id="rId6" Type="http://schemas.openxmlformats.org/officeDocument/2006/relationships/table" Target="../tables/table334.xml"/><Relationship Id="rId5" Type="http://schemas.openxmlformats.org/officeDocument/2006/relationships/table" Target="../tables/table333.xml"/><Relationship Id="rId4" Type="http://schemas.openxmlformats.org/officeDocument/2006/relationships/table" Target="../tables/table332.xml"/><Relationship Id="rId9" Type="http://schemas.openxmlformats.org/officeDocument/2006/relationships/table" Target="../tables/table337.xml"/></Relationships>
</file>

<file path=xl/worksheets/_rels/sheet44.xml.rels><?xml version="1.0" encoding="UTF-8" standalone="yes"?>
<Relationships xmlns="http://schemas.openxmlformats.org/package/2006/relationships"><Relationship Id="rId8" Type="http://schemas.openxmlformats.org/officeDocument/2006/relationships/table" Target="../tables/table344.xml"/><Relationship Id="rId3" Type="http://schemas.openxmlformats.org/officeDocument/2006/relationships/table" Target="../tables/table339.xml"/><Relationship Id="rId7" Type="http://schemas.openxmlformats.org/officeDocument/2006/relationships/table" Target="../tables/table343.xml"/><Relationship Id="rId2" Type="http://schemas.openxmlformats.org/officeDocument/2006/relationships/table" Target="../tables/table338.xml"/><Relationship Id="rId1" Type="http://schemas.openxmlformats.org/officeDocument/2006/relationships/printerSettings" Target="../printerSettings/printerSettings44.bin"/><Relationship Id="rId6" Type="http://schemas.openxmlformats.org/officeDocument/2006/relationships/table" Target="../tables/table342.xml"/><Relationship Id="rId5" Type="http://schemas.openxmlformats.org/officeDocument/2006/relationships/table" Target="../tables/table341.xml"/><Relationship Id="rId4" Type="http://schemas.openxmlformats.org/officeDocument/2006/relationships/table" Target="../tables/table340.xml"/><Relationship Id="rId9" Type="http://schemas.openxmlformats.org/officeDocument/2006/relationships/table" Target="../tables/table345.xml"/></Relationships>
</file>

<file path=xl/worksheets/_rels/sheet45.xml.rels><?xml version="1.0" encoding="UTF-8" standalone="yes"?>
<Relationships xmlns="http://schemas.openxmlformats.org/package/2006/relationships"><Relationship Id="rId8" Type="http://schemas.openxmlformats.org/officeDocument/2006/relationships/table" Target="../tables/table352.xml"/><Relationship Id="rId3" Type="http://schemas.openxmlformats.org/officeDocument/2006/relationships/table" Target="../tables/table347.xml"/><Relationship Id="rId7" Type="http://schemas.openxmlformats.org/officeDocument/2006/relationships/table" Target="../tables/table351.xml"/><Relationship Id="rId2" Type="http://schemas.openxmlformats.org/officeDocument/2006/relationships/table" Target="../tables/table346.xml"/><Relationship Id="rId1" Type="http://schemas.openxmlformats.org/officeDocument/2006/relationships/printerSettings" Target="../printerSettings/printerSettings45.bin"/><Relationship Id="rId6" Type="http://schemas.openxmlformats.org/officeDocument/2006/relationships/table" Target="../tables/table350.xml"/><Relationship Id="rId5" Type="http://schemas.openxmlformats.org/officeDocument/2006/relationships/table" Target="../tables/table349.xml"/><Relationship Id="rId4" Type="http://schemas.openxmlformats.org/officeDocument/2006/relationships/table" Target="../tables/table348.xml"/><Relationship Id="rId9" Type="http://schemas.openxmlformats.org/officeDocument/2006/relationships/table" Target="../tables/table353.xml"/></Relationships>
</file>

<file path=xl/worksheets/_rels/sheet46.xml.rels><?xml version="1.0" encoding="UTF-8" standalone="yes"?>
<Relationships xmlns="http://schemas.openxmlformats.org/package/2006/relationships"><Relationship Id="rId8" Type="http://schemas.openxmlformats.org/officeDocument/2006/relationships/table" Target="../tables/table360.xml"/><Relationship Id="rId3" Type="http://schemas.openxmlformats.org/officeDocument/2006/relationships/table" Target="../tables/table355.xml"/><Relationship Id="rId7" Type="http://schemas.openxmlformats.org/officeDocument/2006/relationships/table" Target="../tables/table359.xml"/><Relationship Id="rId2" Type="http://schemas.openxmlformats.org/officeDocument/2006/relationships/table" Target="../tables/table354.xml"/><Relationship Id="rId1" Type="http://schemas.openxmlformats.org/officeDocument/2006/relationships/printerSettings" Target="../printerSettings/printerSettings46.bin"/><Relationship Id="rId6" Type="http://schemas.openxmlformats.org/officeDocument/2006/relationships/table" Target="../tables/table358.xml"/><Relationship Id="rId5" Type="http://schemas.openxmlformats.org/officeDocument/2006/relationships/table" Target="../tables/table357.xml"/><Relationship Id="rId4" Type="http://schemas.openxmlformats.org/officeDocument/2006/relationships/table" Target="../tables/table356.xml"/><Relationship Id="rId9" Type="http://schemas.openxmlformats.org/officeDocument/2006/relationships/table" Target="../tables/table361.xml"/></Relationships>
</file>

<file path=xl/worksheets/_rels/sheet47.xml.rels><?xml version="1.0" encoding="UTF-8" standalone="yes"?>
<Relationships xmlns="http://schemas.openxmlformats.org/package/2006/relationships"><Relationship Id="rId8" Type="http://schemas.openxmlformats.org/officeDocument/2006/relationships/table" Target="../tables/table368.xml"/><Relationship Id="rId3" Type="http://schemas.openxmlformats.org/officeDocument/2006/relationships/table" Target="../tables/table363.xml"/><Relationship Id="rId7" Type="http://schemas.openxmlformats.org/officeDocument/2006/relationships/table" Target="../tables/table367.xml"/><Relationship Id="rId2" Type="http://schemas.openxmlformats.org/officeDocument/2006/relationships/table" Target="../tables/table362.xml"/><Relationship Id="rId1" Type="http://schemas.openxmlformats.org/officeDocument/2006/relationships/printerSettings" Target="../printerSettings/printerSettings47.bin"/><Relationship Id="rId6" Type="http://schemas.openxmlformats.org/officeDocument/2006/relationships/table" Target="../tables/table366.xml"/><Relationship Id="rId5" Type="http://schemas.openxmlformats.org/officeDocument/2006/relationships/table" Target="../tables/table365.xml"/><Relationship Id="rId4" Type="http://schemas.openxmlformats.org/officeDocument/2006/relationships/table" Target="../tables/table364.xml"/><Relationship Id="rId9" Type="http://schemas.openxmlformats.org/officeDocument/2006/relationships/table" Target="../tables/table369.xml"/></Relationships>
</file>

<file path=xl/worksheets/_rels/sheet48.xml.rels><?xml version="1.0" encoding="UTF-8" standalone="yes"?>
<Relationships xmlns="http://schemas.openxmlformats.org/package/2006/relationships"><Relationship Id="rId8" Type="http://schemas.openxmlformats.org/officeDocument/2006/relationships/table" Target="../tables/table376.xml"/><Relationship Id="rId3" Type="http://schemas.openxmlformats.org/officeDocument/2006/relationships/table" Target="../tables/table371.xml"/><Relationship Id="rId7" Type="http://schemas.openxmlformats.org/officeDocument/2006/relationships/table" Target="../tables/table375.xml"/><Relationship Id="rId2" Type="http://schemas.openxmlformats.org/officeDocument/2006/relationships/table" Target="../tables/table370.xml"/><Relationship Id="rId1" Type="http://schemas.openxmlformats.org/officeDocument/2006/relationships/printerSettings" Target="../printerSettings/printerSettings48.bin"/><Relationship Id="rId6" Type="http://schemas.openxmlformats.org/officeDocument/2006/relationships/table" Target="../tables/table374.xml"/><Relationship Id="rId5" Type="http://schemas.openxmlformats.org/officeDocument/2006/relationships/table" Target="../tables/table373.xml"/><Relationship Id="rId4" Type="http://schemas.openxmlformats.org/officeDocument/2006/relationships/table" Target="../tables/table372.xml"/><Relationship Id="rId9" Type="http://schemas.openxmlformats.org/officeDocument/2006/relationships/table" Target="../tables/table377.xml"/></Relationships>
</file>

<file path=xl/worksheets/_rels/sheet49.xml.rels><?xml version="1.0" encoding="UTF-8" standalone="yes"?>
<Relationships xmlns="http://schemas.openxmlformats.org/package/2006/relationships"><Relationship Id="rId8" Type="http://schemas.openxmlformats.org/officeDocument/2006/relationships/table" Target="../tables/table384.xml"/><Relationship Id="rId3" Type="http://schemas.openxmlformats.org/officeDocument/2006/relationships/table" Target="../tables/table379.xml"/><Relationship Id="rId7" Type="http://schemas.openxmlformats.org/officeDocument/2006/relationships/table" Target="../tables/table383.xml"/><Relationship Id="rId2" Type="http://schemas.openxmlformats.org/officeDocument/2006/relationships/table" Target="../tables/table378.xml"/><Relationship Id="rId1" Type="http://schemas.openxmlformats.org/officeDocument/2006/relationships/printerSettings" Target="../printerSettings/printerSettings49.bin"/><Relationship Id="rId6" Type="http://schemas.openxmlformats.org/officeDocument/2006/relationships/table" Target="../tables/table382.xml"/><Relationship Id="rId5" Type="http://schemas.openxmlformats.org/officeDocument/2006/relationships/table" Target="../tables/table381.xml"/><Relationship Id="rId4" Type="http://schemas.openxmlformats.org/officeDocument/2006/relationships/table" Target="../tables/table380.xml"/><Relationship Id="rId9" Type="http://schemas.openxmlformats.org/officeDocument/2006/relationships/table" Target="../tables/table385.xml"/></Relationships>
</file>

<file path=xl/worksheets/_rels/sheet5.xml.rels><?xml version="1.0" encoding="UTF-8" standalone="yes"?>
<Relationships xmlns="http://schemas.openxmlformats.org/package/2006/relationships"><Relationship Id="rId8" Type="http://schemas.openxmlformats.org/officeDocument/2006/relationships/table" Target="../tables/table32.xml"/><Relationship Id="rId3" Type="http://schemas.openxmlformats.org/officeDocument/2006/relationships/table" Target="../tables/table27.xml"/><Relationship Id="rId7" Type="http://schemas.openxmlformats.org/officeDocument/2006/relationships/table" Target="../tables/table31.xml"/><Relationship Id="rId2" Type="http://schemas.openxmlformats.org/officeDocument/2006/relationships/table" Target="../tables/table26.xml"/><Relationship Id="rId1" Type="http://schemas.openxmlformats.org/officeDocument/2006/relationships/printerSettings" Target="../printerSettings/printerSettings5.bin"/><Relationship Id="rId6" Type="http://schemas.openxmlformats.org/officeDocument/2006/relationships/table" Target="../tables/table30.xml"/><Relationship Id="rId5" Type="http://schemas.openxmlformats.org/officeDocument/2006/relationships/table" Target="../tables/table29.xml"/><Relationship Id="rId4" Type="http://schemas.openxmlformats.org/officeDocument/2006/relationships/table" Target="../tables/table28.xml"/><Relationship Id="rId9" Type="http://schemas.openxmlformats.org/officeDocument/2006/relationships/table" Target="../tables/table33.xml"/></Relationships>
</file>

<file path=xl/worksheets/_rels/sheet50.xml.rels><?xml version="1.0" encoding="UTF-8" standalone="yes"?>
<Relationships xmlns="http://schemas.openxmlformats.org/package/2006/relationships"><Relationship Id="rId8" Type="http://schemas.openxmlformats.org/officeDocument/2006/relationships/table" Target="../tables/table392.xml"/><Relationship Id="rId3" Type="http://schemas.openxmlformats.org/officeDocument/2006/relationships/table" Target="../tables/table387.xml"/><Relationship Id="rId7" Type="http://schemas.openxmlformats.org/officeDocument/2006/relationships/table" Target="../tables/table391.xml"/><Relationship Id="rId2" Type="http://schemas.openxmlformats.org/officeDocument/2006/relationships/table" Target="../tables/table386.xml"/><Relationship Id="rId1" Type="http://schemas.openxmlformats.org/officeDocument/2006/relationships/printerSettings" Target="../printerSettings/printerSettings50.bin"/><Relationship Id="rId6" Type="http://schemas.openxmlformats.org/officeDocument/2006/relationships/table" Target="../tables/table390.xml"/><Relationship Id="rId5" Type="http://schemas.openxmlformats.org/officeDocument/2006/relationships/table" Target="../tables/table389.xml"/><Relationship Id="rId4" Type="http://schemas.openxmlformats.org/officeDocument/2006/relationships/table" Target="../tables/table388.xml"/><Relationship Id="rId9" Type="http://schemas.openxmlformats.org/officeDocument/2006/relationships/table" Target="../tables/table393.xml"/></Relationships>
</file>

<file path=xl/worksheets/_rels/sheet51.xml.rels><?xml version="1.0" encoding="UTF-8" standalone="yes"?>
<Relationships xmlns="http://schemas.openxmlformats.org/package/2006/relationships"><Relationship Id="rId8" Type="http://schemas.openxmlformats.org/officeDocument/2006/relationships/table" Target="../tables/table400.xml"/><Relationship Id="rId3" Type="http://schemas.openxmlformats.org/officeDocument/2006/relationships/table" Target="../tables/table395.xml"/><Relationship Id="rId7" Type="http://schemas.openxmlformats.org/officeDocument/2006/relationships/table" Target="../tables/table399.xml"/><Relationship Id="rId2" Type="http://schemas.openxmlformats.org/officeDocument/2006/relationships/table" Target="../tables/table394.xml"/><Relationship Id="rId1" Type="http://schemas.openxmlformats.org/officeDocument/2006/relationships/printerSettings" Target="../printerSettings/printerSettings51.bin"/><Relationship Id="rId6" Type="http://schemas.openxmlformats.org/officeDocument/2006/relationships/table" Target="../tables/table398.xml"/><Relationship Id="rId5" Type="http://schemas.openxmlformats.org/officeDocument/2006/relationships/table" Target="../tables/table397.xml"/><Relationship Id="rId4" Type="http://schemas.openxmlformats.org/officeDocument/2006/relationships/table" Target="../tables/table396.xml"/><Relationship Id="rId9" Type="http://schemas.openxmlformats.org/officeDocument/2006/relationships/table" Target="../tables/table401.xml"/></Relationships>
</file>

<file path=xl/worksheets/_rels/sheet52.xml.rels><?xml version="1.0" encoding="UTF-8" standalone="yes"?>
<Relationships xmlns="http://schemas.openxmlformats.org/package/2006/relationships"><Relationship Id="rId8" Type="http://schemas.openxmlformats.org/officeDocument/2006/relationships/table" Target="../tables/table408.xml"/><Relationship Id="rId3" Type="http://schemas.openxmlformats.org/officeDocument/2006/relationships/table" Target="../tables/table403.xml"/><Relationship Id="rId7" Type="http://schemas.openxmlformats.org/officeDocument/2006/relationships/table" Target="../tables/table407.xml"/><Relationship Id="rId2" Type="http://schemas.openxmlformats.org/officeDocument/2006/relationships/table" Target="../tables/table402.xml"/><Relationship Id="rId1" Type="http://schemas.openxmlformats.org/officeDocument/2006/relationships/printerSettings" Target="../printerSettings/printerSettings52.bin"/><Relationship Id="rId6" Type="http://schemas.openxmlformats.org/officeDocument/2006/relationships/table" Target="../tables/table406.xml"/><Relationship Id="rId5" Type="http://schemas.openxmlformats.org/officeDocument/2006/relationships/table" Target="../tables/table405.xml"/><Relationship Id="rId4" Type="http://schemas.openxmlformats.org/officeDocument/2006/relationships/table" Target="../tables/table404.xml"/><Relationship Id="rId9" Type="http://schemas.openxmlformats.org/officeDocument/2006/relationships/table" Target="../tables/table409.xml"/></Relationships>
</file>

<file path=xl/worksheets/_rels/sheet53.xml.rels><?xml version="1.0" encoding="UTF-8" standalone="yes"?>
<Relationships xmlns="http://schemas.openxmlformats.org/package/2006/relationships"><Relationship Id="rId8" Type="http://schemas.openxmlformats.org/officeDocument/2006/relationships/table" Target="../tables/table416.xml"/><Relationship Id="rId3" Type="http://schemas.openxmlformats.org/officeDocument/2006/relationships/table" Target="../tables/table411.xml"/><Relationship Id="rId7" Type="http://schemas.openxmlformats.org/officeDocument/2006/relationships/table" Target="../tables/table415.xml"/><Relationship Id="rId2" Type="http://schemas.openxmlformats.org/officeDocument/2006/relationships/table" Target="../tables/table410.xml"/><Relationship Id="rId1" Type="http://schemas.openxmlformats.org/officeDocument/2006/relationships/printerSettings" Target="../printerSettings/printerSettings53.bin"/><Relationship Id="rId6" Type="http://schemas.openxmlformats.org/officeDocument/2006/relationships/table" Target="../tables/table414.xml"/><Relationship Id="rId5" Type="http://schemas.openxmlformats.org/officeDocument/2006/relationships/table" Target="../tables/table413.xml"/><Relationship Id="rId4" Type="http://schemas.openxmlformats.org/officeDocument/2006/relationships/table" Target="../tables/table412.xml"/><Relationship Id="rId9" Type="http://schemas.openxmlformats.org/officeDocument/2006/relationships/table" Target="../tables/table417.xml"/></Relationships>
</file>

<file path=xl/worksheets/_rels/sheet54.xml.rels><?xml version="1.0" encoding="UTF-8" standalone="yes"?>
<Relationships xmlns="http://schemas.openxmlformats.org/package/2006/relationships"><Relationship Id="rId8" Type="http://schemas.openxmlformats.org/officeDocument/2006/relationships/table" Target="../tables/table424.xml"/><Relationship Id="rId3" Type="http://schemas.openxmlformats.org/officeDocument/2006/relationships/table" Target="../tables/table419.xml"/><Relationship Id="rId7" Type="http://schemas.openxmlformats.org/officeDocument/2006/relationships/table" Target="../tables/table423.xml"/><Relationship Id="rId2" Type="http://schemas.openxmlformats.org/officeDocument/2006/relationships/table" Target="../tables/table418.xml"/><Relationship Id="rId1" Type="http://schemas.openxmlformats.org/officeDocument/2006/relationships/printerSettings" Target="../printerSettings/printerSettings54.bin"/><Relationship Id="rId6" Type="http://schemas.openxmlformats.org/officeDocument/2006/relationships/table" Target="../tables/table422.xml"/><Relationship Id="rId5" Type="http://schemas.openxmlformats.org/officeDocument/2006/relationships/table" Target="../tables/table421.xml"/><Relationship Id="rId4" Type="http://schemas.openxmlformats.org/officeDocument/2006/relationships/table" Target="../tables/table420.xml"/><Relationship Id="rId9" Type="http://schemas.openxmlformats.org/officeDocument/2006/relationships/table" Target="../tables/table425.xml"/></Relationships>
</file>

<file path=xl/worksheets/_rels/sheet55.xml.rels><?xml version="1.0" encoding="UTF-8" standalone="yes"?>
<Relationships xmlns="http://schemas.openxmlformats.org/package/2006/relationships"><Relationship Id="rId8" Type="http://schemas.openxmlformats.org/officeDocument/2006/relationships/table" Target="../tables/table432.xml"/><Relationship Id="rId3" Type="http://schemas.openxmlformats.org/officeDocument/2006/relationships/table" Target="../tables/table427.xml"/><Relationship Id="rId7" Type="http://schemas.openxmlformats.org/officeDocument/2006/relationships/table" Target="../tables/table431.xml"/><Relationship Id="rId2" Type="http://schemas.openxmlformats.org/officeDocument/2006/relationships/table" Target="../tables/table426.xml"/><Relationship Id="rId1" Type="http://schemas.openxmlformats.org/officeDocument/2006/relationships/printerSettings" Target="../printerSettings/printerSettings55.bin"/><Relationship Id="rId6" Type="http://schemas.openxmlformats.org/officeDocument/2006/relationships/table" Target="../tables/table430.xml"/><Relationship Id="rId5" Type="http://schemas.openxmlformats.org/officeDocument/2006/relationships/table" Target="../tables/table429.xml"/><Relationship Id="rId4" Type="http://schemas.openxmlformats.org/officeDocument/2006/relationships/table" Target="../tables/table428.xml"/><Relationship Id="rId9" Type="http://schemas.openxmlformats.org/officeDocument/2006/relationships/table" Target="../tables/table433.xml"/></Relationships>
</file>

<file path=xl/worksheets/_rels/sheet56.xml.rels><?xml version="1.0" encoding="UTF-8" standalone="yes"?>
<Relationships xmlns="http://schemas.openxmlformats.org/package/2006/relationships"><Relationship Id="rId8" Type="http://schemas.openxmlformats.org/officeDocument/2006/relationships/table" Target="../tables/table440.xml"/><Relationship Id="rId3" Type="http://schemas.openxmlformats.org/officeDocument/2006/relationships/table" Target="../tables/table435.xml"/><Relationship Id="rId7" Type="http://schemas.openxmlformats.org/officeDocument/2006/relationships/table" Target="../tables/table439.xml"/><Relationship Id="rId2" Type="http://schemas.openxmlformats.org/officeDocument/2006/relationships/table" Target="../tables/table434.xml"/><Relationship Id="rId1" Type="http://schemas.openxmlformats.org/officeDocument/2006/relationships/printerSettings" Target="../printerSettings/printerSettings56.bin"/><Relationship Id="rId6" Type="http://schemas.openxmlformats.org/officeDocument/2006/relationships/table" Target="../tables/table438.xml"/><Relationship Id="rId5" Type="http://schemas.openxmlformats.org/officeDocument/2006/relationships/table" Target="../tables/table437.xml"/><Relationship Id="rId4" Type="http://schemas.openxmlformats.org/officeDocument/2006/relationships/table" Target="../tables/table436.xml"/><Relationship Id="rId9" Type="http://schemas.openxmlformats.org/officeDocument/2006/relationships/table" Target="../tables/table441.xml"/></Relationships>
</file>

<file path=xl/worksheets/_rels/sheet57.xml.rels><?xml version="1.0" encoding="UTF-8" standalone="yes"?>
<Relationships xmlns="http://schemas.openxmlformats.org/package/2006/relationships"><Relationship Id="rId8" Type="http://schemas.openxmlformats.org/officeDocument/2006/relationships/table" Target="../tables/table448.xml"/><Relationship Id="rId3" Type="http://schemas.openxmlformats.org/officeDocument/2006/relationships/table" Target="../tables/table443.xml"/><Relationship Id="rId7" Type="http://schemas.openxmlformats.org/officeDocument/2006/relationships/table" Target="../tables/table447.xml"/><Relationship Id="rId2" Type="http://schemas.openxmlformats.org/officeDocument/2006/relationships/table" Target="../tables/table442.xml"/><Relationship Id="rId1" Type="http://schemas.openxmlformats.org/officeDocument/2006/relationships/printerSettings" Target="../printerSettings/printerSettings57.bin"/><Relationship Id="rId6" Type="http://schemas.openxmlformats.org/officeDocument/2006/relationships/table" Target="../tables/table446.xml"/><Relationship Id="rId5" Type="http://schemas.openxmlformats.org/officeDocument/2006/relationships/table" Target="../tables/table445.xml"/><Relationship Id="rId4" Type="http://schemas.openxmlformats.org/officeDocument/2006/relationships/table" Target="../tables/table444.xml"/><Relationship Id="rId9" Type="http://schemas.openxmlformats.org/officeDocument/2006/relationships/table" Target="../tables/table449.xml"/></Relationships>
</file>

<file path=xl/worksheets/_rels/sheet58.xml.rels><?xml version="1.0" encoding="UTF-8" standalone="yes"?>
<Relationships xmlns="http://schemas.openxmlformats.org/package/2006/relationships"><Relationship Id="rId8" Type="http://schemas.openxmlformats.org/officeDocument/2006/relationships/table" Target="../tables/table456.xml"/><Relationship Id="rId3" Type="http://schemas.openxmlformats.org/officeDocument/2006/relationships/table" Target="../tables/table451.xml"/><Relationship Id="rId7" Type="http://schemas.openxmlformats.org/officeDocument/2006/relationships/table" Target="../tables/table455.xml"/><Relationship Id="rId2" Type="http://schemas.openxmlformats.org/officeDocument/2006/relationships/table" Target="../tables/table450.xml"/><Relationship Id="rId1" Type="http://schemas.openxmlformats.org/officeDocument/2006/relationships/printerSettings" Target="../printerSettings/printerSettings58.bin"/><Relationship Id="rId6" Type="http://schemas.openxmlformats.org/officeDocument/2006/relationships/table" Target="../tables/table454.xml"/><Relationship Id="rId5" Type="http://schemas.openxmlformats.org/officeDocument/2006/relationships/table" Target="../tables/table453.xml"/><Relationship Id="rId4" Type="http://schemas.openxmlformats.org/officeDocument/2006/relationships/table" Target="../tables/table452.xml"/><Relationship Id="rId9" Type="http://schemas.openxmlformats.org/officeDocument/2006/relationships/table" Target="../tables/table457.xml"/></Relationships>
</file>

<file path=xl/worksheets/_rels/sheet59.xml.rels><?xml version="1.0" encoding="UTF-8" standalone="yes"?>
<Relationships xmlns="http://schemas.openxmlformats.org/package/2006/relationships"><Relationship Id="rId8" Type="http://schemas.openxmlformats.org/officeDocument/2006/relationships/table" Target="../tables/table464.xml"/><Relationship Id="rId3" Type="http://schemas.openxmlformats.org/officeDocument/2006/relationships/table" Target="../tables/table459.xml"/><Relationship Id="rId7" Type="http://schemas.openxmlformats.org/officeDocument/2006/relationships/table" Target="../tables/table463.xml"/><Relationship Id="rId2" Type="http://schemas.openxmlformats.org/officeDocument/2006/relationships/table" Target="../tables/table458.xml"/><Relationship Id="rId1" Type="http://schemas.openxmlformats.org/officeDocument/2006/relationships/printerSettings" Target="../printerSettings/printerSettings59.bin"/><Relationship Id="rId6" Type="http://schemas.openxmlformats.org/officeDocument/2006/relationships/table" Target="../tables/table462.xml"/><Relationship Id="rId5" Type="http://schemas.openxmlformats.org/officeDocument/2006/relationships/table" Target="../tables/table461.xml"/><Relationship Id="rId4" Type="http://schemas.openxmlformats.org/officeDocument/2006/relationships/table" Target="../tables/table460.xml"/><Relationship Id="rId9" Type="http://schemas.openxmlformats.org/officeDocument/2006/relationships/table" Target="../tables/table465.xml"/></Relationships>
</file>

<file path=xl/worksheets/_rels/sheet6.xml.rels><?xml version="1.0" encoding="UTF-8" standalone="yes"?>
<Relationships xmlns="http://schemas.openxmlformats.org/package/2006/relationships"><Relationship Id="rId8" Type="http://schemas.openxmlformats.org/officeDocument/2006/relationships/table" Target="../tables/table40.xml"/><Relationship Id="rId3" Type="http://schemas.openxmlformats.org/officeDocument/2006/relationships/table" Target="../tables/table35.xml"/><Relationship Id="rId7" Type="http://schemas.openxmlformats.org/officeDocument/2006/relationships/table" Target="../tables/table39.xml"/><Relationship Id="rId2" Type="http://schemas.openxmlformats.org/officeDocument/2006/relationships/table" Target="../tables/table34.xml"/><Relationship Id="rId1" Type="http://schemas.openxmlformats.org/officeDocument/2006/relationships/printerSettings" Target="../printerSettings/printerSettings6.bin"/><Relationship Id="rId6" Type="http://schemas.openxmlformats.org/officeDocument/2006/relationships/table" Target="../tables/table38.xml"/><Relationship Id="rId5" Type="http://schemas.openxmlformats.org/officeDocument/2006/relationships/table" Target="../tables/table37.xml"/><Relationship Id="rId4" Type="http://schemas.openxmlformats.org/officeDocument/2006/relationships/table" Target="../tables/table36.xml"/><Relationship Id="rId9" Type="http://schemas.openxmlformats.org/officeDocument/2006/relationships/table" Target="../tables/table41.xml"/></Relationships>
</file>

<file path=xl/worksheets/_rels/sheet60.xml.rels><?xml version="1.0" encoding="UTF-8" standalone="yes"?>
<Relationships xmlns="http://schemas.openxmlformats.org/package/2006/relationships"><Relationship Id="rId8" Type="http://schemas.openxmlformats.org/officeDocument/2006/relationships/table" Target="../tables/table472.xml"/><Relationship Id="rId3" Type="http://schemas.openxmlformats.org/officeDocument/2006/relationships/table" Target="../tables/table467.xml"/><Relationship Id="rId7" Type="http://schemas.openxmlformats.org/officeDocument/2006/relationships/table" Target="../tables/table471.xml"/><Relationship Id="rId2" Type="http://schemas.openxmlformats.org/officeDocument/2006/relationships/table" Target="../tables/table466.xml"/><Relationship Id="rId1" Type="http://schemas.openxmlformats.org/officeDocument/2006/relationships/printerSettings" Target="../printerSettings/printerSettings60.bin"/><Relationship Id="rId6" Type="http://schemas.openxmlformats.org/officeDocument/2006/relationships/table" Target="../tables/table470.xml"/><Relationship Id="rId5" Type="http://schemas.openxmlformats.org/officeDocument/2006/relationships/table" Target="../tables/table469.xml"/><Relationship Id="rId4" Type="http://schemas.openxmlformats.org/officeDocument/2006/relationships/table" Target="../tables/table468.xml"/><Relationship Id="rId9" Type="http://schemas.openxmlformats.org/officeDocument/2006/relationships/table" Target="../tables/table473.xml"/></Relationships>
</file>

<file path=xl/worksheets/_rels/sheet61.xml.rels><?xml version="1.0" encoding="UTF-8" standalone="yes"?>
<Relationships xmlns="http://schemas.openxmlformats.org/package/2006/relationships"><Relationship Id="rId8" Type="http://schemas.openxmlformats.org/officeDocument/2006/relationships/table" Target="../tables/table480.xml"/><Relationship Id="rId3" Type="http://schemas.openxmlformats.org/officeDocument/2006/relationships/table" Target="../tables/table475.xml"/><Relationship Id="rId7" Type="http://schemas.openxmlformats.org/officeDocument/2006/relationships/table" Target="../tables/table479.xml"/><Relationship Id="rId2" Type="http://schemas.openxmlformats.org/officeDocument/2006/relationships/table" Target="../tables/table474.xml"/><Relationship Id="rId1" Type="http://schemas.openxmlformats.org/officeDocument/2006/relationships/printerSettings" Target="../printerSettings/printerSettings61.bin"/><Relationship Id="rId6" Type="http://schemas.openxmlformats.org/officeDocument/2006/relationships/table" Target="../tables/table478.xml"/><Relationship Id="rId5" Type="http://schemas.openxmlformats.org/officeDocument/2006/relationships/table" Target="../tables/table477.xml"/><Relationship Id="rId4" Type="http://schemas.openxmlformats.org/officeDocument/2006/relationships/table" Target="../tables/table476.xml"/><Relationship Id="rId9" Type="http://schemas.openxmlformats.org/officeDocument/2006/relationships/table" Target="../tables/table481.xml"/></Relationships>
</file>

<file path=xl/worksheets/_rels/sheet62.xml.rels><?xml version="1.0" encoding="UTF-8" standalone="yes"?>
<Relationships xmlns="http://schemas.openxmlformats.org/package/2006/relationships"><Relationship Id="rId8" Type="http://schemas.openxmlformats.org/officeDocument/2006/relationships/table" Target="../tables/table488.xml"/><Relationship Id="rId3" Type="http://schemas.openxmlformats.org/officeDocument/2006/relationships/table" Target="../tables/table483.xml"/><Relationship Id="rId7" Type="http://schemas.openxmlformats.org/officeDocument/2006/relationships/table" Target="../tables/table487.xml"/><Relationship Id="rId2" Type="http://schemas.openxmlformats.org/officeDocument/2006/relationships/table" Target="../tables/table482.xml"/><Relationship Id="rId1" Type="http://schemas.openxmlformats.org/officeDocument/2006/relationships/printerSettings" Target="../printerSettings/printerSettings62.bin"/><Relationship Id="rId6" Type="http://schemas.openxmlformats.org/officeDocument/2006/relationships/table" Target="../tables/table486.xml"/><Relationship Id="rId5" Type="http://schemas.openxmlformats.org/officeDocument/2006/relationships/table" Target="../tables/table485.xml"/><Relationship Id="rId4" Type="http://schemas.openxmlformats.org/officeDocument/2006/relationships/table" Target="../tables/table484.xml"/><Relationship Id="rId9" Type="http://schemas.openxmlformats.org/officeDocument/2006/relationships/table" Target="../tables/table489.xml"/></Relationships>
</file>

<file path=xl/worksheets/_rels/sheet63.xml.rels><?xml version="1.0" encoding="UTF-8" standalone="yes"?>
<Relationships xmlns="http://schemas.openxmlformats.org/package/2006/relationships"><Relationship Id="rId8" Type="http://schemas.openxmlformats.org/officeDocument/2006/relationships/table" Target="../tables/table496.xml"/><Relationship Id="rId3" Type="http://schemas.openxmlformats.org/officeDocument/2006/relationships/table" Target="../tables/table491.xml"/><Relationship Id="rId7" Type="http://schemas.openxmlformats.org/officeDocument/2006/relationships/table" Target="../tables/table495.xml"/><Relationship Id="rId2" Type="http://schemas.openxmlformats.org/officeDocument/2006/relationships/table" Target="../tables/table490.xml"/><Relationship Id="rId1" Type="http://schemas.openxmlformats.org/officeDocument/2006/relationships/printerSettings" Target="../printerSettings/printerSettings63.bin"/><Relationship Id="rId6" Type="http://schemas.openxmlformats.org/officeDocument/2006/relationships/table" Target="../tables/table494.xml"/><Relationship Id="rId5" Type="http://schemas.openxmlformats.org/officeDocument/2006/relationships/table" Target="../tables/table493.xml"/><Relationship Id="rId4" Type="http://schemas.openxmlformats.org/officeDocument/2006/relationships/table" Target="../tables/table492.xml"/><Relationship Id="rId9" Type="http://schemas.openxmlformats.org/officeDocument/2006/relationships/table" Target="../tables/table497.xml"/></Relationships>
</file>

<file path=xl/worksheets/_rels/sheet64.xml.rels><?xml version="1.0" encoding="UTF-8" standalone="yes"?>
<Relationships xmlns="http://schemas.openxmlformats.org/package/2006/relationships"><Relationship Id="rId8" Type="http://schemas.openxmlformats.org/officeDocument/2006/relationships/table" Target="../tables/table504.xml"/><Relationship Id="rId3" Type="http://schemas.openxmlformats.org/officeDocument/2006/relationships/table" Target="../tables/table499.xml"/><Relationship Id="rId7" Type="http://schemas.openxmlformats.org/officeDocument/2006/relationships/table" Target="../tables/table503.xml"/><Relationship Id="rId2" Type="http://schemas.openxmlformats.org/officeDocument/2006/relationships/table" Target="../tables/table498.xml"/><Relationship Id="rId1" Type="http://schemas.openxmlformats.org/officeDocument/2006/relationships/printerSettings" Target="../printerSettings/printerSettings64.bin"/><Relationship Id="rId6" Type="http://schemas.openxmlformats.org/officeDocument/2006/relationships/table" Target="../tables/table502.xml"/><Relationship Id="rId5" Type="http://schemas.openxmlformats.org/officeDocument/2006/relationships/table" Target="../tables/table501.xml"/><Relationship Id="rId4" Type="http://schemas.openxmlformats.org/officeDocument/2006/relationships/table" Target="../tables/table500.xml"/><Relationship Id="rId9" Type="http://schemas.openxmlformats.org/officeDocument/2006/relationships/table" Target="../tables/table505.xml"/></Relationships>
</file>

<file path=xl/worksheets/_rels/sheet65.xml.rels><?xml version="1.0" encoding="UTF-8" standalone="yes"?>
<Relationships xmlns="http://schemas.openxmlformats.org/package/2006/relationships"><Relationship Id="rId8" Type="http://schemas.openxmlformats.org/officeDocument/2006/relationships/table" Target="../tables/table512.xml"/><Relationship Id="rId3" Type="http://schemas.openxmlformats.org/officeDocument/2006/relationships/table" Target="../tables/table507.xml"/><Relationship Id="rId7" Type="http://schemas.openxmlformats.org/officeDocument/2006/relationships/table" Target="../tables/table511.xml"/><Relationship Id="rId2" Type="http://schemas.openxmlformats.org/officeDocument/2006/relationships/table" Target="../tables/table506.xml"/><Relationship Id="rId1" Type="http://schemas.openxmlformats.org/officeDocument/2006/relationships/printerSettings" Target="../printerSettings/printerSettings65.bin"/><Relationship Id="rId6" Type="http://schemas.openxmlformats.org/officeDocument/2006/relationships/table" Target="../tables/table510.xml"/><Relationship Id="rId5" Type="http://schemas.openxmlformats.org/officeDocument/2006/relationships/table" Target="../tables/table509.xml"/><Relationship Id="rId4" Type="http://schemas.openxmlformats.org/officeDocument/2006/relationships/table" Target="../tables/table508.xml"/><Relationship Id="rId9" Type="http://schemas.openxmlformats.org/officeDocument/2006/relationships/table" Target="../tables/table513.xml"/></Relationships>
</file>

<file path=xl/worksheets/_rels/sheet66.xml.rels><?xml version="1.0" encoding="UTF-8" standalone="yes"?>
<Relationships xmlns="http://schemas.openxmlformats.org/package/2006/relationships"><Relationship Id="rId8" Type="http://schemas.openxmlformats.org/officeDocument/2006/relationships/table" Target="../tables/table520.xml"/><Relationship Id="rId3" Type="http://schemas.openxmlformats.org/officeDocument/2006/relationships/table" Target="../tables/table515.xml"/><Relationship Id="rId7" Type="http://schemas.openxmlformats.org/officeDocument/2006/relationships/table" Target="../tables/table519.xml"/><Relationship Id="rId2" Type="http://schemas.openxmlformats.org/officeDocument/2006/relationships/table" Target="../tables/table514.xml"/><Relationship Id="rId1" Type="http://schemas.openxmlformats.org/officeDocument/2006/relationships/printerSettings" Target="../printerSettings/printerSettings66.bin"/><Relationship Id="rId6" Type="http://schemas.openxmlformats.org/officeDocument/2006/relationships/table" Target="../tables/table518.xml"/><Relationship Id="rId5" Type="http://schemas.openxmlformats.org/officeDocument/2006/relationships/table" Target="../tables/table517.xml"/><Relationship Id="rId4" Type="http://schemas.openxmlformats.org/officeDocument/2006/relationships/table" Target="../tables/table516.xml"/><Relationship Id="rId9" Type="http://schemas.openxmlformats.org/officeDocument/2006/relationships/table" Target="../tables/table521.xml"/></Relationships>
</file>

<file path=xl/worksheets/_rels/sheet67.xml.rels><?xml version="1.0" encoding="UTF-8" standalone="yes"?>
<Relationships xmlns="http://schemas.openxmlformats.org/package/2006/relationships"><Relationship Id="rId8" Type="http://schemas.openxmlformats.org/officeDocument/2006/relationships/table" Target="../tables/table528.xml"/><Relationship Id="rId3" Type="http://schemas.openxmlformats.org/officeDocument/2006/relationships/table" Target="../tables/table523.xml"/><Relationship Id="rId7" Type="http://schemas.openxmlformats.org/officeDocument/2006/relationships/table" Target="../tables/table527.xml"/><Relationship Id="rId2" Type="http://schemas.openxmlformats.org/officeDocument/2006/relationships/table" Target="../tables/table522.xml"/><Relationship Id="rId1" Type="http://schemas.openxmlformats.org/officeDocument/2006/relationships/printerSettings" Target="../printerSettings/printerSettings67.bin"/><Relationship Id="rId6" Type="http://schemas.openxmlformats.org/officeDocument/2006/relationships/table" Target="../tables/table526.xml"/><Relationship Id="rId5" Type="http://schemas.openxmlformats.org/officeDocument/2006/relationships/table" Target="../tables/table525.xml"/><Relationship Id="rId4" Type="http://schemas.openxmlformats.org/officeDocument/2006/relationships/table" Target="../tables/table524.xml"/><Relationship Id="rId9" Type="http://schemas.openxmlformats.org/officeDocument/2006/relationships/table" Target="../tables/table529.xml"/></Relationships>
</file>

<file path=xl/worksheets/_rels/sheet68.xml.rels><?xml version="1.0" encoding="UTF-8" standalone="yes"?>
<Relationships xmlns="http://schemas.openxmlformats.org/package/2006/relationships"><Relationship Id="rId8" Type="http://schemas.openxmlformats.org/officeDocument/2006/relationships/table" Target="../tables/table536.xml"/><Relationship Id="rId3" Type="http://schemas.openxmlformats.org/officeDocument/2006/relationships/table" Target="../tables/table531.xml"/><Relationship Id="rId7" Type="http://schemas.openxmlformats.org/officeDocument/2006/relationships/table" Target="../tables/table535.xml"/><Relationship Id="rId2" Type="http://schemas.openxmlformats.org/officeDocument/2006/relationships/table" Target="../tables/table530.xml"/><Relationship Id="rId1" Type="http://schemas.openxmlformats.org/officeDocument/2006/relationships/printerSettings" Target="../printerSettings/printerSettings68.bin"/><Relationship Id="rId6" Type="http://schemas.openxmlformats.org/officeDocument/2006/relationships/table" Target="../tables/table534.xml"/><Relationship Id="rId5" Type="http://schemas.openxmlformats.org/officeDocument/2006/relationships/table" Target="../tables/table533.xml"/><Relationship Id="rId4" Type="http://schemas.openxmlformats.org/officeDocument/2006/relationships/table" Target="../tables/table532.xml"/><Relationship Id="rId9" Type="http://schemas.openxmlformats.org/officeDocument/2006/relationships/table" Target="../tables/table537.xml"/></Relationships>
</file>

<file path=xl/worksheets/_rels/sheet69.xml.rels><?xml version="1.0" encoding="UTF-8" standalone="yes"?>
<Relationships xmlns="http://schemas.openxmlformats.org/package/2006/relationships"><Relationship Id="rId8" Type="http://schemas.openxmlformats.org/officeDocument/2006/relationships/table" Target="../tables/table544.xml"/><Relationship Id="rId3" Type="http://schemas.openxmlformats.org/officeDocument/2006/relationships/table" Target="../tables/table539.xml"/><Relationship Id="rId7" Type="http://schemas.openxmlformats.org/officeDocument/2006/relationships/table" Target="../tables/table543.xml"/><Relationship Id="rId2" Type="http://schemas.openxmlformats.org/officeDocument/2006/relationships/table" Target="../tables/table538.xml"/><Relationship Id="rId1" Type="http://schemas.openxmlformats.org/officeDocument/2006/relationships/printerSettings" Target="../printerSettings/printerSettings69.bin"/><Relationship Id="rId6" Type="http://schemas.openxmlformats.org/officeDocument/2006/relationships/table" Target="../tables/table542.xml"/><Relationship Id="rId5" Type="http://schemas.openxmlformats.org/officeDocument/2006/relationships/table" Target="../tables/table541.xml"/><Relationship Id="rId4" Type="http://schemas.openxmlformats.org/officeDocument/2006/relationships/table" Target="../tables/table540.xml"/><Relationship Id="rId9" Type="http://schemas.openxmlformats.org/officeDocument/2006/relationships/table" Target="../tables/table545.xml"/></Relationships>
</file>

<file path=xl/worksheets/_rels/sheet7.xml.rels><?xml version="1.0" encoding="UTF-8" standalone="yes"?>
<Relationships xmlns="http://schemas.openxmlformats.org/package/2006/relationships"><Relationship Id="rId8" Type="http://schemas.openxmlformats.org/officeDocument/2006/relationships/table" Target="../tables/table48.xml"/><Relationship Id="rId3" Type="http://schemas.openxmlformats.org/officeDocument/2006/relationships/table" Target="../tables/table43.xml"/><Relationship Id="rId7" Type="http://schemas.openxmlformats.org/officeDocument/2006/relationships/table" Target="../tables/table47.xml"/><Relationship Id="rId2" Type="http://schemas.openxmlformats.org/officeDocument/2006/relationships/table" Target="../tables/table42.xml"/><Relationship Id="rId1" Type="http://schemas.openxmlformats.org/officeDocument/2006/relationships/printerSettings" Target="../printerSettings/printerSettings7.bin"/><Relationship Id="rId6" Type="http://schemas.openxmlformats.org/officeDocument/2006/relationships/table" Target="../tables/table46.xml"/><Relationship Id="rId5" Type="http://schemas.openxmlformats.org/officeDocument/2006/relationships/table" Target="../tables/table45.xml"/><Relationship Id="rId4" Type="http://schemas.openxmlformats.org/officeDocument/2006/relationships/table" Target="../tables/table44.xml"/><Relationship Id="rId9" Type="http://schemas.openxmlformats.org/officeDocument/2006/relationships/table" Target="../tables/table49.xml"/></Relationships>
</file>

<file path=xl/worksheets/_rels/sheet70.xml.rels><?xml version="1.0" encoding="UTF-8" standalone="yes"?>
<Relationships xmlns="http://schemas.openxmlformats.org/package/2006/relationships"><Relationship Id="rId8" Type="http://schemas.openxmlformats.org/officeDocument/2006/relationships/table" Target="../tables/table552.xml"/><Relationship Id="rId3" Type="http://schemas.openxmlformats.org/officeDocument/2006/relationships/table" Target="../tables/table547.xml"/><Relationship Id="rId7" Type="http://schemas.openxmlformats.org/officeDocument/2006/relationships/table" Target="../tables/table551.xml"/><Relationship Id="rId2" Type="http://schemas.openxmlformats.org/officeDocument/2006/relationships/table" Target="../tables/table546.xml"/><Relationship Id="rId1" Type="http://schemas.openxmlformats.org/officeDocument/2006/relationships/printerSettings" Target="../printerSettings/printerSettings70.bin"/><Relationship Id="rId6" Type="http://schemas.openxmlformats.org/officeDocument/2006/relationships/table" Target="../tables/table550.xml"/><Relationship Id="rId5" Type="http://schemas.openxmlformats.org/officeDocument/2006/relationships/table" Target="../tables/table549.xml"/><Relationship Id="rId4" Type="http://schemas.openxmlformats.org/officeDocument/2006/relationships/table" Target="../tables/table548.xml"/><Relationship Id="rId9" Type="http://schemas.openxmlformats.org/officeDocument/2006/relationships/table" Target="../tables/table553.xml"/></Relationships>
</file>

<file path=xl/worksheets/_rels/sheet71.xml.rels><?xml version="1.0" encoding="UTF-8" standalone="yes"?>
<Relationships xmlns="http://schemas.openxmlformats.org/package/2006/relationships"><Relationship Id="rId8" Type="http://schemas.openxmlformats.org/officeDocument/2006/relationships/table" Target="../tables/table560.xml"/><Relationship Id="rId3" Type="http://schemas.openxmlformats.org/officeDocument/2006/relationships/table" Target="../tables/table555.xml"/><Relationship Id="rId7" Type="http://schemas.openxmlformats.org/officeDocument/2006/relationships/table" Target="../tables/table559.xml"/><Relationship Id="rId2" Type="http://schemas.openxmlformats.org/officeDocument/2006/relationships/table" Target="../tables/table554.xml"/><Relationship Id="rId1" Type="http://schemas.openxmlformats.org/officeDocument/2006/relationships/printerSettings" Target="../printerSettings/printerSettings71.bin"/><Relationship Id="rId6" Type="http://schemas.openxmlformats.org/officeDocument/2006/relationships/table" Target="../tables/table558.xml"/><Relationship Id="rId5" Type="http://schemas.openxmlformats.org/officeDocument/2006/relationships/table" Target="../tables/table557.xml"/><Relationship Id="rId4" Type="http://schemas.openxmlformats.org/officeDocument/2006/relationships/table" Target="../tables/table556.xml"/><Relationship Id="rId9" Type="http://schemas.openxmlformats.org/officeDocument/2006/relationships/table" Target="../tables/table561.xml"/></Relationships>
</file>

<file path=xl/worksheets/_rels/sheet72.xml.rels><?xml version="1.0" encoding="UTF-8" standalone="yes"?>
<Relationships xmlns="http://schemas.openxmlformats.org/package/2006/relationships"><Relationship Id="rId8" Type="http://schemas.openxmlformats.org/officeDocument/2006/relationships/table" Target="../tables/table568.xml"/><Relationship Id="rId3" Type="http://schemas.openxmlformats.org/officeDocument/2006/relationships/table" Target="../tables/table563.xml"/><Relationship Id="rId7" Type="http://schemas.openxmlformats.org/officeDocument/2006/relationships/table" Target="../tables/table567.xml"/><Relationship Id="rId2" Type="http://schemas.openxmlformats.org/officeDocument/2006/relationships/table" Target="../tables/table562.xml"/><Relationship Id="rId1" Type="http://schemas.openxmlformats.org/officeDocument/2006/relationships/printerSettings" Target="../printerSettings/printerSettings72.bin"/><Relationship Id="rId6" Type="http://schemas.openxmlformats.org/officeDocument/2006/relationships/table" Target="../tables/table566.xml"/><Relationship Id="rId5" Type="http://schemas.openxmlformats.org/officeDocument/2006/relationships/table" Target="../tables/table565.xml"/><Relationship Id="rId4" Type="http://schemas.openxmlformats.org/officeDocument/2006/relationships/table" Target="../tables/table564.xml"/><Relationship Id="rId9" Type="http://schemas.openxmlformats.org/officeDocument/2006/relationships/table" Target="../tables/table569.xml"/></Relationships>
</file>

<file path=xl/worksheets/_rels/sheet73.xml.rels><?xml version="1.0" encoding="UTF-8" standalone="yes"?>
<Relationships xmlns="http://schemas.openxmlformats.org/package/2006/relationships"><Relationship Id="rId8" Type="http://schemas.openxmlformats.org/officeDocument/2006/relationships/table" Target="../tables/table576.xml"/><Relationship Id="rId3" Type="http://schemas.openxmlformats.org/officeDocument/2006/relationships/table" Target="../tables/table571.xml"/><Relationship Id="rId7" Type="http://schemas.openxmlformats.org/officeDocument/2006/relationships/table" Target="../tables/table575.xml"/><Relationship Id="rId2" Type="http://schemas.openxmlformats.org/officeDocument/2006/relationships/table" Target="../tables/table570.xml"/><Relationship Id="rId1" Type="http://schemas.openxmlformats.org/officeDocument/2006/relationships/printerSettings" Target="../printerSettings/printerSettings73.bin"/><Relationship Id="rId6" Type="http://schemas.openxmlformats.org/officeDocument/2006/relationships/table" Target="../tables/table574.xml"/><Relationship Id="rId5" Type="http://schemas.openxmlformats.org/officeDocument/2006/relationships/table" Target="../tables/table573.xml"/><Relationship Id="rId4" Type="http://schemas.openxmlformats.org/officeDocument/2006/relationships/table" Target="../tables/table572.xml"/><Relationship Id="rId9" Type="http://schemas.openxmlformats.org/officeDocument/2006/relationships/table" Target="../tables/table577.xml"/></Relationships>
</file>

<file path=xl/worksheets/_rels/sheet74.xml.rels><?xml version="1.0" encoding="UTF-8" standalone="yes"?>
<Relationships xmlns="http://schemas.openxmlformats.org/package/2006/relationships"><Relationship Id="rId8" Type="http://schemas.openxmlformats.org/officeDocument/2006/relationships/table" Target="../tables/table584.xml"/><Relationship Id="rId3" Type="http://schemas.openxmlformats.org/officeDocument/2006/relationships/table" Target="../tables/table579.xml"/><Relationship Id="rId7" Type="http://schemas.openxmlformats.org/officeDocument/2006/relationships/table" Target="../tables/table583.xml"/><Relationship Id="rId2" Type="http://schemas.openxmlformats.org/officeDocument/2006/relationships/table" Target="../tables/table578.xml"/><Relationship Id="rId1" Type="http://schemas.openxmlformats.org/officeDocument/2006/relationships/printerSettings" Target="../printerSettings/printerSettings74.bin"/><Relationship Id="rId6" Type="http://schemas.openxmlformats.org/officeDocument/2006/relationships/table" Target="../tables/table582.xml"/><Relationship Id="rId5" Type="http://schemas.openxmlformats.org/officeDocument/2006/relationships/table" Target="../tables/table581.xml"/><Relationship Id="rId4" Type="http://schemas.openxmlformats.org/officeDocument/2006/relationships/table" Target="../tables/table580.xml"/><Relationship Id="rId9" Type="http://schemas.openxmlformats.org/officeDocument/2006/relationships/table" Target="../tables/table585.xml"/></Relationships>
</file>

<file path=xl/worksheets/_rels/sheet75.xml.rels><?xml version="1.0" encoding="UTF-8" standalone="yes"?>
<Relationships xmlns="http://schemas.openxmlformats.org/package/2006/relationships"><Relationship Id="rId8" Type="http://schemas.openxmlformats.org/officeDocument/2006/relationships/table" Target="../tables/table592.xml"/><Relationship Id="rId3" Type="http://schemas.openxmlformats.org/officeDocument/2006/relationships/table" Target="../tables/table587.xml"/><Relationship Id="rId7" Type="http://schemas.openxmlformats.org/officeDocument/2006/relationships/table" Target="../tables/table591.xml"/><Relationship Id="rId2" Type="http://schemas.openxmlformats.org/officeDocument/2006/relationships/table" Target="../tables/table586.xml"/><Relationship Id="rId1" Type="http://schemas.openxmlformats.org/officeDocument/2006/relationships/printerSettings" Target="../printerSettings/printerSettings75.bin"/><Relationship Id="rId6" Type="http://schemas.openxmlformats.org/officeDocument/2006/relationships/table" Target="../tables/table590.xml"/><Relationship Id="rId5" Type="http://schemas.openxmlformats.org/officeDocument/2006/relationships/table" Target="../tables/table589.xml"/><Relationship Id="rId4" Type="http://schemas.openxmlformats.org/officeDocument/2006/relationships/table" Target="../tables/table588.xml"/><Relationship Id="rId9" Type="http://schemas.openxmlformats.org/officeDocument/2006/relationships/table" Target="../tables/table593.xml"/></Relationships>
</file>

<file path=xl/worksheets/_rels/sheet76.xml.rels><?xml version="1.0" encoding="UTF-8" standalone="yes"?>
<Relationships xmlns="http://schemas.openxmlformats.org/package/2006/relationships"><Relationship Id="rId8" Type="http://schemas.openxmlformats.org/officeDocument/2006/relationships/table" Target="../tables/table600.xml"/><Relationship Id="rId3" Type="http://schemas.openxmlformats.org/officeDocument/2006/relationships/table" Target="../tables/table595.xml"/><Relationship Id="rId7" Type="http://schemas.openxmlformats.org/officeDocument/2006/relationships/table" Target="../tables/table599.xml"/><Relationship Id="rId2" Type="http://schemas.openxmlformats.org/officeDocument/2006/relationships/table" Target="../tables/table594.xml"/><Relationship Id="rId1" Type="http://schemas.openxmlformats.org/officeDocument/2006/relationships/printerSettings" Target="../printerSettings/printerSettings76.bin"/><Relationship Id="rId6" Type="http://schemas.openxmlformats.org/officeDocument/2006/relationships/table" Target="../tables/table598.xml"/><Relationship Id="rId5" Type="http://schemas.openxmlformats.org/officeDocument/2006/relationships/table" Target="../tables/table597.xml"/><Relationship Id="rId4" Type="http://schemas.openxmlformats.org/officeDocument/2006/relationships/table" Target="../tables/table596.xml"/><Relationship Id="rId9" Type="http://schemas.openxmlformats.org/officeDocument/2006/relationships/table" Target="../tables/table601.xml"/></Relationships>
</file>

<file path=xl/worksheets/_rels/sheet77.xml.rels><?xml version="1.0" encoding="UTF-8" standalone="yes"?>
<Relationships xmlns="http://schemas.openxmlformats.org/package/2006/relationships"><Relationship Id="rId8" Type="http://schemas.openxmlformats.org/officeDocument/2006/relationships/table" Target="../tables/table608.xml"/><Relationship Id="rId3" Type="http://schemas.openxmlformats.org/officeDocument/2006/relationships/table" Target="../tables/table603.xml"/><Relationship Id="rId7" Type="http://schemas.openxmlformats.org/officeDocument/2006/relationships/table" Target="../tables/table607.xml"/><Relationship Id="rId2" Type="http://schemas.openxmlformats.org/officeDocument/2006/relationships/table" Target="../tables/table602.xml"/><Relationship Id="rId1" Type="http://schemas.openxmlformats.org/officeDocument/2006/relationships/printerSettings" Target="../printerSettings/printerSettings77.bin"/><Relationship Id="rId6" Type="http://schemas.openxmlformats.org/officeDocument/2006/relationships/table" Target="../tables/table606.xml"/><Relationship Id="rId5" Type="http://schemas.openxmlformats.org/officeDocument/2006/relationships/table" Target="../tables/table605.xml"/><Relationship Id="rId4" Type="http://schemas.openxmlformats.org/officeDocument/2006/relationships/table" Target="../tables/table604.xml"/><Relationship Id="rId9" Type="http://schemas.openxmlformats.org/officeDocument/2006/relationships/table" Target="../tables/table609.xml"/></Relationships>
</file>

<file path=xl/worksheets/_rels/sheet78.xml.rels><?xml version="1.0" encoding="UTF-8" standalone="yes"?>
<Relationships xmlns="http://schemas.openxmlformats.org/package/2006/relationships"><Relationship Id="rId8" Type="http://schemas.openxmlformats.org/officeDocument/2006/relationships/table" Target="../tables/table616.xml"/><Relationship Id="rId3" Type="http://schemas.openxmlformats.org/officeDocument/2006/relationships/table" Target="../tables/table611.xml"/><Relationship Id="rId7" Type="http://schemas.openxmlformats.org/officeDocument/2006/relationships/table" Target="../tables/table615.xml"/><Relationship Id="rId2" Type="http://schemas.openxmlformats.org/officeDocument/2006/relationships/table" Target="../tables/table610.xml"/><Relationship Id="rId1" Type="http://schemas.openxmlformats.org/officeDocument/2006/relationships/printerSettings" Target="../printerSettings/printerSettings78.bin"/><Relationship Id="rId6" Type="http://schemas.openxmlformats.org/officeDocument/2006/relationships/table" Target="../tables/table614.xml"/><Relationship Id="rId5" Type="http://schemas.openxmlformats.org/officeDocument/2006/relationships/table" Target="../tables/table613.xml"/><Relationship Id="rId4" Type="http://schemas.openxmlformats.org/officeDocument/2006/relationships/table" Target="../tables/table612.xml"/><Relationship Id="rId9" Type="http://schemas.openxmlformats.org/officeDocument/2006/relationships/table" Target="../tables/table617.xml"/></Relationships>
</file>

<file path=xl/worksheets/_rels/sheet79.xml.rels><?xml version="1.0" encoding="UTF-8" standalone="yes"?>
<Relationships xmlns="http://schemas.openxmlformats.org/package/2006/relationships"><Relationship Id="rId8" Type="http://schemas.openxmlformats.org/officeDocument/2006/relationships/table" Target="../tables/table624.xml"/><Relationship Id="rId3" Type="http://schemas.openxmlformats.org/officeDocument/2006/relationships/table" Target="../tables/table619.xml"/><Relationship Id="rId7" Type="http://schemas.openxmlformats.org/officeDocument/2006/relationships/table" Target="../tables/table623.xml"/><Relationship Id="rId2" Type="http://schemas.openxmlformats.org/officeDocument/2006/relationships/table" Target="../tables/table618.xml"/><Relationship Id="rId1" Type="http://schemas.openxmlformats.org/officeDocument/2006/relationships/printerSettings" Target="../printerSettings/printerSettings79.bin"/><Relationship Id="rId6" Type="http://schemas.openxmlformats.org/officeDocument/2006/relationships/table" Target="../tables/table622.xml"/><Relationship Id="rId5" Type="http://schemas.openxmlformats.org/officeDocument/2006/relationships/table" Target="../tables/table621.xml"/><Relationship Id="rId4" Type="http://schemas.openxmlformats.org/officeDocument/2006/relationships/table" Target="../tables/table620.xml"/><Relationship Id="rId9" Type="http://schemas.openxmlformats.org/officeDocument/2006/relationships/table" Target="../tables/table625.xml"/></Relationships>
</file>

<file path=xl/worksheets/_rels/sheet8.xml.rels><?xml version="1.0" encoding="UTF-8" standalone="yes"?>
<Relationships xmlns="http://schemas.openxmlformats.org/package/2006/relationships"><Relationship Id="rId8" Type="http://schemas.openxmlformats.org/officeDocument/2006/relationships/table" Target="../tables/table56.xml"/><Relationship Id="rId3" Type="http://schemas.openxmlformats.org/officeDocument/2006/relationships/table" Target="../tables/table51.xml"/><Relationship Id="rId7" Type="http://schemas.openxmlformats.org/officeDocument/2006/relationships/table" Target="../tables/table55.xml"/><Relationship Id="rId2" Type="http://schemas.openxmlformats.org/officeDocument/2006/relationships/table" Target="../tables/table50.xml"/><Relationship Id="rId1" Type="http://schemas.openxmlformats.org/officeDocument/2006/relationships/printerSettings" Target="../printerSettings/printerSettings8.bin"/><Relationship Id="rId6" Type="http://schemas.openxmlformats.org/officeDocument/2006/relationships/table" Target="../tables/table54.xml"/><Relationship Id="rId5" Type="http://schemas.openxmlformats.org/officeDocument/2006/relationships/table" Target="../tables/table53.xml"/><Relationship Id="rId4" Type="http://schemas.openxmlformats.org/officeDocument/2006/relationships/table" Target="../tables/table52.xml"/><Relationship Id="rId9" Type="http://schemas.openxmlformats.org/officeDocument/2006/relationships/table" Target="../tables/table57.xml"/></Relationships>
</file>

<file path=xl/worksheets/_rels/sheet80.xml.rels><?xml version="1.0" encoding="UTF-8" standalone="yes"?>
<Relationships xmlns="http://schemas.openxmlformats.org/package/2006/relationships"><Relationship Id="rId8" Type="http://schemas.openxmlformats.org/officeDocument/2006/relationships/table" Target="../tables/table632.xml"/><Relationship Id="rId3" Type="http://schemas.openxmlformats.org/officeDocument/2006/relationships/table" Target="../tables/table627.xml"/><Relationship Id="rId7" Type="http://schemas.openxmlformats.org/officeDocument/2006/relationships/table" Target="../tables/table631.xml"/><Relationship Id="rId2" Type="http://schemas.openxmlformats.org/officeDocument/2006/relationships/table" Target="../tables/table626.xml"/><Relationship Id="rId1" Type="http://schemas.openxmlformats.org/officeDocument/2006/relationships/printerSettings" Target="../printerSettings/printerSettings80.bin"/><Relationship Id="rId6" Type="http://schemas.openxmlformats.org/officeDocument/2006/relationships/table" Target="../tables/table630.xml"/><Relationship Id="rId5" Type="http://schemas.openxmlformats.org/officeDocument/2006/relationships/table" Target="../tables/table629.xml"/><Relationship Id="rId4" Type="http://schemas.openxmlformats.org/officeDocument/2006/relationships/table" Target="../tables/table628.xml"/><Relationship Id="rId9" Type="http://schemas.openxmlformats.org/officeDocument/2006/relationships/table" Target="../tables/table633.xml"/></Relationships>
</file>

<file path=xl/worksheets/_rels/sheet81.xml.rels><?xml version="1.0" encoding="UTF-8" standalone="yes"?>
<Relationships xmlns="http://schemas.openxmlformats.org/package/2006/relationships"><Relationship Id="rId8" Type="http://schemas.openxmlformats.org/officeDocument/2006/relationships/table" Target="../tables/table640.xml"/><Relationship Id="rId3" Type="http://schemas.openxmlformats.org/officeDocument/2006/relationships/table" Target="../tables/table635.xml"/><Relationship Id="rId7" Type="http://schemas.openxmlformats.org/officeDocument/2006/relationships/table" Target="../tables/table639.xml"/><Relationship Id="rId2" Type="http://schemas.openxmlformats.org/officeDocument/2006/relationships/table" Target="../tables/table634.xml"/><Relationship Id="rId1" Type="http://schemas.openxmlformats.org/officeDocument/2006/relationships/printerSettings" Target="../printerSettings/printerSettings81.bin"/><Relationship Id="rId6" Type="http://schemas.openxmlformats.org/officeDocument/2006/relationships/table" Target="../tables/table638.xml"/><Relationship Id="rId5" Type="http://schemas.openxmlformats.org/officeDocument/2006/relationships/table" Target="../tables/table637.xml"/><Relationship Id="rId4" Type="http://schemas.openxmlformats.org/officeDocument/2006/relationships/table" Target="../tables/table636.xml"/><Relationship Id="rId9" Type="http://schemas.openxmlformats.org/officeDocument/2006/relationships/table" Target="../tables/table641.xml"/></Relationships>
</file>

<file path=xl/worksheets/_rels/sheet82.xml.rels><?xml version="1.0" encoding="UTF-8" standalone="yes"?>
<Relationships xmlns="http://schemas.openxmlformats.org/package/2006/relationships"><Relationship Id="rId8" Type="http://schemas.openxmlformats.org/officeDocument/2006/relationships/table" Target="../tables/table648.xml"/><Relationship Id="rId3" Type="http://schemas.openxmlformats.org/officeDocument/2006/relationships/table" Target="../tables/table643.xml"/><Relationship Id="rId7" Type="http://schemas.openxmlformats.org/officeDocument/2006/relationships/table" Target="../tables/table647.xml"/><Relationship Id="rId2" Type="http://schemas.openxmlformats.org/officeDocument/2006/relationships/table" Target="../tables/table642.xml"/><Relationship Id="rId1" Type="http://schemas.openxmlformats.org/officeDocument/2006/relationships/printerSettings" Target="../printerSettings/printerSettings82.bin"/><Relationship Id="rId6" Type="http://schemas.openxmlformats.org/officeDocument/2006/relationships/table" Target="../tables/table646.xml"/><Relationship Id="rId5" Type="http://schemas.openxmlformats.org/officeDocument/2006/relationships/table" Target="../tables/table645.xml"/><Relationship Id="rId4" Type="http://schemas.openxmlformats.org/officeDocument/2006/relationships/table" Target="../tables/table644.xml"/><Relationship Id="rId9" Type="http://schemas.openxmlformats.org/officeDocument/2006/relationships/table" Target="../tables/table649.xml"/></Relationships>
</file>

<file path=xl/worksheets/_rels/sheet83.xml.rels><?xml version="1.0" encoding="UTF-8" standalone="yes"?>
<Relationships xmlns="http://schemas.openxmlformats.org/package/2006/relationships"><Relationship Id="rId8" Type="http://schemas.openxmlformats.org/officeDocument/2006/relationships/table" Target="../tables/table656.xml"/><Relationship Id="rId3" Type="http://schemas.openxmlformats.org/officeDocument/2006/relationships/table" Target="../tables/table651.xml"/><Relationship Id="rId7" Type="http://schemas.openxmlformats.org/officeDocument/2006/relationships/table" Target="../tables/table655.xml"/><Relationship Id="rId2" Type="http://schemas.openxmlformats.org/officeDocument/2006/relationships/table" Target="../tables/table650.xml"/><Relationship Id="rId1" Type="http://schemas.openxmlformats.org/officeDocument/2006/relationships/printerSettings" Target="../printerSettings/printerSettings83.bin"/><Relationship Id="rId6" Type="http://schemas.openxmlformats.org/officeDocument/2006/relationships/table" Target="../tables/table654.xml"/><Relationship Id="rId5" Type="http://schemas.openxmlformats.org/officeDocument/2006/relationships/table" Target="../tables/table653.xml"/><Relationship Id="rId4" Type="http://schemas.openxmlformats.org/officeDocument/2006/relationships/table" Target="../tables/table652.xml"/><Relationship Id="rId9" Type="http://schemas.openxmlformats.org/officeDocument/2006/relationships/table" Target="../tables/table657.xml"/></Relationships>
</file>

<file path=xl/worksheets/_rels/sheet84.xml.rels><?xml version="1.0" encoding="UTF-8" standalone="yes"?>
<Relationships xmlns="http://schemas.openxmlformats.org/package/2006/relationships"><Relationship Id="rId8" Type="http://schemas.openxmlformats.org/officeDocument/2006/relationships/table" Target="../tables/table664.xml"/><Relationship Id="rId3" Type="http://schemas.openxmlformats.org/officeDocument/2006/relationships/table" Target="../tables/table659.xml"/><Relationship Id="rId7" Type="http://schemas.openxmlformats.org/officeDocument/2006/relationships/table" Target="../tables/table663.xml"/><Relationship Id="rId2" Type="http://schemas.openxmlformats.org/officeDocument/2006/relationships/table" Target="../tables/table658.xml"/><Relationship Id="rId1" Type="http://schemas.openxmlformats.org/officeDocument/2006/relationships/printerSettings" Target="../printerSettings/printerSettings84.bin"/><Relationship Id="rId6" Type="http://schemas.openxmlformats.org/officeDocument/2006/relationships/table" Target="../tables/table662.xml"/><Relationship Id="rId5" Type="http://schemas.openxmlformats.org/officeDocument/2006/relationships/table" Target="../tables/table661.xml"/><Relationship Id="rId4" Type="http://schemas.openxmlformats.org/officeDocument/2006/relationships/table" Target="../tables/table660.xml"/><Relationship Id="rId9" Type="http://schemas.openxmlformats.org/officeDocument/2006/relationships/table" Target="../tables/table665.xml"/></Relationships>
</file>

<file path=xl/worksheets/_rels/sheet85.xml.rels><?xml version="1.0" encoding="UTF-8" standalone="yes"?>
<Relationships xmlns="http://schemas.openxmlformats.org/package/2006/relationships"><Relationship Id="rId8" Type="http://schemas.openxmlformats.org/officeDocument/2006/relationships/table" Target="../tables/table672.xml"/><Relationship Id="rId3" Type="http://schemas.openxmlformats.org/officeDocument/2006/relationships/table" Target="../tables/table667.xml"/><Relationship Id="rId7" Type="http://schemas.openxmlformats.org/officeDocument/2006/relationships/table" Target="../tables/table671.xml"/><Relationship Id="rId2" Type="http://schemas.openxmlformats.org/officeDocument/2006/relationships/table" Target="../tables/table666.xml"/><Relationship Id="rId1" Type="http://schemas.openxmlformats.org/officeDocument/2006/relationships/printerSettings" Target="../printerSettings/printerSettings85.bin"/><Relationship Id="rId6" Type="http://schemas.openxmlformats.org/officeDocument/2006/relationships/table" Target="../tables/table670.xml"/><Relationship Id="rId5" Type="http://schemas.openxmlformats.org/officeDocument/2006/relationships/table" Target="../tables/table669.xml"/><Relationship Id="rId4" Type="http://schemas.openxmlformats.org/officeDocument/2006/relationships/table" Target="../tables/table668.xml"/><Relationship Id="rId9" Type="http://schemas.openxmlformats.org/officeDocument/2006/relationships/table" Target="../tables/table673.xml"/></Relationships>
</file>

<file path=xl/worksheets/_rels/sheet86.xml.rels><?xml version="1.0" encoding="UTF-8" standalone="yes"?>
<Relationships xmlns="http://schemas.openxmlformats.org/package/2006/relationships"><Relationship Id="rId8" Type="http://schemas.openxmlformats.org/officeDocument/2006/relationships/table" Target="../tables/table680.xml"/><Relationship Id="rId3" Type="http://schemas.openxmlformats.org/officeDocument/2006/relationships/table" Target="../tables/table675.xml"/><Relationship Id="rId7" Type="http://schemas.openxmlformats.org/officeDocument/2006/relationships/table" Target="../tables/table679.xml"/><Relationship Id="rId2" Type="http://schemas.openxmlformats.org/officeDocument/2006/relationships/table" Target="../tables/table674.xml"/><Relationship Id="rId1" Type="http://schemas.openxmlformats.org/officeDocument/2006/relationships/printerSettings" Target="../printerSettings/printerSettings86.bin"/><Relationship Id="rId6" Type="http://schemas.openxmlformats.org/officeDocument/2006/relationships/table" Target="../tables/table678.xml"/><Relationship Id="rId5" Type="http://schemas.openxmlformats.org/officeDocument/2006/relationships/table" Target="../tables/table677.xml"/><Relationship Id="rId4" Type="http://schemas.openxmlformats.org/officeDocument/2006/relationships/table" Target="../tables/table676.xml"/><Relationship Id="rId9" Type="http://schemas.openxmlformats.org/officeDocument/2006/relationships/table" Target="../tables/table681.xml"/></Relationships>
</file>

<file path=xl/worksheets/_rels/sheet87.xml.rels><?xml version="1.0" encoding="UTF-8" standalone="yes"?>
<Relationships xmlns="http://schemas.openxmlformats.org/package/2006/relationships"><Relationship Id="rId8" Type="http://schemas.openxmlformats.org/officeDocument/2006/relationships/table" Target="../tables/table688.xml"/><Relationship Id="rId3" Type="http://schemas.openxmlformats.org/officeDocument/2006/relationships/table" Target="../tables/table683.xml"/><Relationship Id="rId7" Type="http://schemas.openxmlformats.org/officeDocument/2006/relationships/table" Target="../tables/table687.xml"/><Relationship Id="rId2" Type="http://schemas.openxmlformats.org/officeDocument/2006/relationships/table" Target="../tables/table682.xml"/><Relationship Id="rId1" Type="http://schemas.openxmlformats.org/officeDocument/2006/relationships/printerSettings" Target="../printerSettings/printerSettings87.bin"/><Relationship Id="rId6" Type="http://schemas.openxmlformats.org/officeDocument/2006/relationships/table" Target="../tables/table686.xml"/><Relationship Id="rId5" Type="http://schemas.openxmlformats.org/officeDocument/2006/relationships/table" Target="../tables/table685.xml"/><Relationship Id="rId4" Type="http://schemas.openxmlformats.org/officeDocument/2006/relationships/table" Target="../tables/table684.xml"/><Relationship Id="rId9" Type="http://schemas.openxmlformats.org/officeDocument/2006/relationships/table" Target="../tables/table689.xml"/></Relationships>
</file>

<file path=xl/worksheets/_rels/sheet88.xml.rels><?xml version="1.0" encoding="UTF-8" standalone="yes"?>
<Relationships xmlns="http://schemas.openxmlformats.org/package/2006/relationships"><Relationship Id="rId8" Type="http://schemas.openxmlformats.org/officeDocument/2006/relationships/table" Target="../tables/table696.xml"/><Relationship Id="rId3" Type="http://schemas.openxmlformats.org/officeDocument/2006/relationships/table" Target="../tables/table691.xml"/><Relationship Id="rId7" Type="http://schemas.openxmlformats.org/officeDocument/2006/relationships/table" Target="../tables/table695.xml"/><Relationship Id="rId2" Type="http://schemas.openxmlformats.org/officeDocument/2006/relationships/table" Target="../tables/table690.xml"/><Relationship Id="rId1" Type="http://schemas.openxmlformats.org/officeDocument/2006/relationships/printerSettings" Target="../printerSettings/printerSettings88.bin"/><Relationship Id="rId6" Type="http://schemas.openxmlformats.org/officeDocument/2006/relationships/table" Target="../tables/table694.xml"/><Relationship Id="rId5" Type="http://schemas.openxmlformats.org/officeDocument/2006/relationships/table" Target="../tables/table693.xml"/><Relationship Id="rId4" Type="http://schemas.openxmlformats.org/officeDocument/2006/relationships/table" Target="../tables/table692.xml"/><Relationship Id="rId9" Type="http://schemas.openxmlformats.org/officeDocument/2006/relationships/table" Target="../tables/table697.xml"/></Relationships>
</file>

<file path=xl/worksheets/_rels/sheet89.xml.rels><?xml version="1.0" encoding="UTF-8" standalone="yes"?>
<Relationships xmlns="http://schemas.openxmlformats.org/package/2006/relationships"><Relationship Id="rId8" Type="http://schemas.openxmlformats.org/officeDocument/2006/relationships/table" Target="../tables/table704.xml"/><Relationship Id="rId3" Type="http://schemas.openxmlformats.org/officeDocument/2006/relationships/table" Target="../tables/table699.xml"/><Relationship Id="rId7" Type="http://schemas.openxmlformats.org/officeDocument/2006/relationships/table" Target="../tables/table703.xml"/><Relationship Id="rId2" Type="http://schemas.openxmlformats.org/officeDocument/2006/relationships/table" Target="../tables/table698.xml"/><Relationship Id="rId1" Type="http://schemas.openxmlformats.org/officeDocument/2006/relationships/printerSettings" Target="../printerSettings/printerSettings89.bin"/><Relationship Id="rId6" Type="http://schemas.openxmlformats.org/officeDocument/2006/relationships/table" Target="../tables/table702.xml"/><Relationship Id="rId5" Type="http://schemas.openxmlformats.org/officeDocument/2006/relationships/table" Target="../tables/table701.xml"/><Relationship Id="rId4" Type="http://schemas.openxmlformats.org/officeDocument/2006/relationships/table" Target="../tables/table700.xml"/><Relationship Id="rId9" Type="http://schemas.openxmlformats.org/officeDocument/2006/relationships/table" Target="../tables/table705.xml"/></Relationships>
</file>

<file path=xl/worksheets/_rels/sheet9.xml.rels><?xml version="1.0" encoding="UTF-8" standalone="yes"?>
<Relationships xmlns="http://schemas.openxmlformats.org/package/2006/relationships"><Relationship Id="rId8" Type="http://schemas.openxmlformats.org/officeDocument/2006/relationships/table" Target="../tables/table64.xml"/><Relationship Id="rId3" Type="http://schemas.openxmlformats.org/officeDocument/2006/relationships/table" Target="../tables/table59.xml"/><Relationship Id="rId7" Type="http://schemas.openxmlformats.org/officeDocument/2006/relationships/table" Target="../tables/table63.xml"/><Relationship Id="rId2" Type="http://schemas.openxmlformats.org/officeDocument/2006/relationships/table" Target="../tables/table58.xml"/><Relationship Id="rId1" Type="http://schemas.openxmlformats.org/officeDocument/2006/relationships/printerSettings" Target="../printerSettings/printerSettings9.bin"/><Relationship Id="rId6" Type="http://schemas.openxmlformats.org/officeDocument/2006/relationships/table" Target="../tables/table62.xml"/><Relationship Id="rId5" Type="http://schemas.openxmlformats.org/officeDocument/2006/relationships/table" Target="../tables/table61.xml"/><Relationship Id="rId4" Type="http://schemas.openxmlformats.org/officeDocument/2006/relationships/table" Target="../tables/table60.xml"/><Relationship Id="rId9" Type="http://schemas.openxmlformats.org/officeDocument/2006/relationships/table" Target="../tables/table65.xml"/></Relationships>
</file>

<file path=xl/worksheets/_rels/sheet90.xml.rels><?xml version="1.0" encoding="UTF-8" standalone="yes"?>
<Relationships xmlns="http://schemas.openxmlformats.org/package/2006/relationships"><Relationship Id="rId8" Type="http://schemas.openxmlformats.org/officeDocument/2006/relationships/table" Target="../tables/table712.xml"/><Relationship Id="rId3" Type="http://schemas.openxmlformats.org/officeDocument/2006/relationships/table" Target="../tables/table707.xml"/><Relationship Id="rId7" Type="http://schemas.openxmlformats.org/officeDocument/2006/relationships/table" Target="../tables/table711.xml"/><Relationship Id="rId2" Type="http://schemas.openxmlformats.org/officeDocument/2006/relationships/table" Target="../tables/table706.xml"/><Relationship Id="rId1" Type="http://schemas.openxmlformats.org/officeDocument/2006/relationships/printerSettings" Target="../printerSettings/printerSettings90.bin"/><Relationship Id="rId6" Type="http://schemas.openxmlformats.org/officeDocument/2006/relationships/table" Target="../tables/table710.xml"/><Relationship Id="rId5" Type="http://schemas.openxmlformats.org/officeDocument/2006/relationships/table" Target="../tables/table709.xml"/><Relationship Id="rId4" Type="http://schemas.openxmlformats.org/officeDocument/2006/relationships/table" Target="../tables/table708.xml"/><Relationship Id="rId9" Type="http://schemas.openxmlformats.org/officeDocument/2006/relationships/table" Target="../tables/table713.xml"/></Relationships>
</file>

<file path=xl/worksheets/_rels/sheet91.xml.rels><?xml version="1.0" encoding="UTF-8" standalone="yes"?>
<Relationships xmlns="http://schemas.openxmlformats.org/package/2006/relationships"><Relationship Id="rId8" Type="http://schemas.openxmlformats.org/officeDocument/2006/relationships/table" Target="../tables/table720.xml"/><Relationship Id="rId3" Type="http://schemas.openxmlformats.org/officeDocument/2006/relationships/table" Target="../tables/table715.xml"/><Relationship Id="rId7" Type="http://schemas.openxmlformats.org/officeDocument/2006/relationships/table" Target="../tables/table719.xml"/><Relationship Id="rId2" Type="http://schemas.openxmlformats.org/officeDocument/2006/relationships/table" Target="../tables/table714.xml"/><Relationship Id="rId1" Type="http://schemas.openxmlformats.org/officeDocument/2006/relationships/printerSettings" Target="../printerSettings/printerSettings91.bin"/><Relationship Id="rId6" Type="http://schemas.openxmlformats.org/officeDocument/2006/relationships/table" Target="../tables/table718.xml"/><Relationship Id="rId5" Type="http://schemas.openxmlformats.org/officeDocument/2006/relationships/table" Target="../tables/table717.xml"/><Relationship Id="rId4" Type="http://schemas.openxmlformats.org/officeDocument/2006/relationships/table" Target="../tables/table716.xml"/><Relationship Id="rId9" Type="http://schemas.openxmlformats.org/officeDocument/2006/relationships/table" Target="../tables/table721.xml"/></Relationships>
</file>

<file path=xl/worksheets/_rels/sheet92.xml.rels><?xml version="1.0" encoding="UTF-8" standalone="yes"?>
<Relationships xmlns="http://schemas.openxmlformats.org/package/2006/relationships"><Relationship Id="rId8" Type="http://schemas.openxmlformats.org/officeDocument/2006/relationships/table" Target="../tables/table728.xml"/><Relationship Id="rId3" Type="http://schemas.openxmlformats.org/officeDocument/2006/relationships/table" Target="../tables/table723.xml"/><Relationship Id="rId7" Type="http://schemas.openxmlformats.org/officeDocument/2006/relationships/table" Target="../tables/table727.xml"/><Relationship Id="rId2" Type="http://schemas.openxmlformats.org/officeDocument/2006/relationships/table" Target="../tables/table722.xml"/><Relationship Id="rId1" Type="http://schemas.openxmlformats.org/officeDocument/2006/relationships/printerSettings" Target="../printerSettings/printerSettings92.bin"/><Relationship Id="rId6" Type="http://schemas.openxmlformats.org/officeDocument/2006/relationships/table" Target="../tables/table726.xml"/><Relationship Id="rId5" Type="http://schemas.openxmlformats.org/officeDocument/2006/relationships/table" Target="../tables/table725.xml"/><Relationship Id="rId4" Type="http://schemas.openxmlformats.org/officeDocument/2006/relationships/table" Target="../tables/table724.xml"/><Relationship Id="rId9" Type="http://schemas.openxmlformats.org/officeDocument/2006/relationships/table" Target="../tables/table729.xml"/></Relationships>
</file>

<file path=xl/worksheets/_rels/sheet93.xml.rels><?xml version="1.0" encoding="UTF-8" standalone="yes"?>
<Relationships xmlns="http://schemas.openxmlformats.org/package/2006/relationships"><Relationship Id="rId8" Type="http://schemas.openxmlformats.org/officeDocument/2006/relationships/table" Target="../tables/table736.xml"/><Relationship Id="rId3" Type="http://schemas.openxmlformats.org/officeDocument/2006/relationships/table" Target="../tables/table731.xml"/><Relationship Id="rId7" Type="http://schemas.openxmlformats.org/officeDocument/2006/relationships/table" Target="../tables/table735.xml"/><Relationship Id="rId2" Type="http://schemas.openxmlformats.org/officeDocument/2006/relationships/table" Target="../tables/table730.xml"/><Relationship Id="rId1" Type="http://schemas.openxmlformats.org/officeDocument/2006/relationships/printerSettings" Target="../printerSettings/printerSettings93.bin"/><Relationship Id="rId6" Type="http://schemas.openxmlformats.org/officeDocument/2006/relationships/table" Target="../tables/table734.xml"/><Relationship Id="rId5" Type="http://schemas.openxmlformats.org/officeDocument/2006/relationships/table" Target="../tables/table733.xml"/><Relationship Id="rId4" Type="http://schemas.openxmlformats.org/officeDocument/2006/relationships/table" Target="../tables/table732.xml"/><Relationship Id="rId9" Type="http://schemas.openxmlformats.org/officeDocument/2006/relationships/table" Target="../tables/table737.xml"/></Relationships>
</file>

<file path=xl/worksheets/_rels/sheet94.xml.rels><?xml version="1.0" encoding="UTF-8" standalone="yes"?>
<Relationships xmlns="http://schemas.openxmlformats.org/package/2006/relationships"><Relationship Id="rId8" Type="http://schemas.openxmlformats.org/officeDocument/2006/relationships/table" Target="../tables/table744.xml"/><Relationship Id="rId3" Type="http://schemas.openxmlformats.org/officeDocument/2006/relationships/table" Target="../tables/table739.xml"/><Relationship Id="rId7" Type="http://schemas.openxmlformats.org/officeDocument/2006/relationships/table" Target="../tables/table743.xml"/><Relationship Id="rId2" Type="http://schemas.openxmlformats.org/officeDocument/2006/relationships/table" Target="../tables/table738.xml"/><Relationship Id="rId1" Type="http://schemas.openxmlformats.org/officeDocument/2006/relationships/printerSettings" Target="../printerSettings/printerSettings94.bin"/><Relationship Id="rId6" Type="http://schemas.openxmlformats.org/officeDocument/2006/relationships/table" Target="../tables/table742.xml"/><Relationship Id="rId5" Type="http://schemas.openxmlformats.org/officeDocument/2006/relationships/table" Target="../tables/table741.xml"/><Relationship Id="rId4" Type="http://schemas.openxmlformats.org/officeDocument/2006/relationships/table" Target="../tables/table740.xml"/><Relationship Id="rId9" Type="http://schemas.openxmlformats.org/officeDocument/2006/relationships/table" Target="../tables/table745.xml"/></Relationships>
</file>

<file path=xl/worksheets/_rels/sheet95.xml.rels><?xml version="1.0" encoding="UTF-8" standalone="yes"?>
<Relationships xmlns="http://schemas.openxmlformats.org/package/2006/relationships"><Relationship Id="rId8" Type="http://schemas.openxmlformats.org/officeDocument/2006/relationships/table" Target="../tables/table752.xml"/><Relationship Id="rId3" Type="http://schemas.openxmlformats.org/officeDocument/2006/relationships/table" Target="../tables/table747.xml"/><Relationship Id="rId7" Type="http://schemas.openxmlformats.org/officeDocument/2006/relationships/table" Target="../tables/table751.xml"/><Relationship Id="rId2" Type="http://schemas.openxmlformats.org/officeDocument/2006/relationships/table" Target="../tables/table746.xml"/><Relationship Id="rId1" Type="http://schemas.openxmlformats.org/officeDocument/2006/relationships/printerSettings" Target="../printerSettings/printerSettings95.bin"/><Relationship Id="rId6" Type="http://schemas.openxmlformats.org/officeDocument/2006/relationships/table" Target="../tables/table750.xml"/><Relationship Id="rId5" Type="http://schemas.openxmlformats.org/officeDocument/2006/relationships/table" Target="../tables/table749.xml"/><Relationship Id="rId4" Type="http://schemas.openxmlformats.org/officeDocument/2006/relationships/table" Target="../tables/table748.xml"/><Relationship Id="rId9" Type="http://schemas.openxmlformats.org/officeDocument/2006/relationships/table" Target="../tables/table753.xml"/></Relationships>
</file>

<file path=xl/worksheets/_rels/sheet96.xml.rels><?xml version="1.0" encoding="UTF-8" standalone="yes"?>
<Relationships xmlns="http://schemas.openxmlformats.org/package/2006/relationships"><Relationship Id="rId8" Type="http://schemas.openxmlformats.org/officeDocument/2006/relationships/table" Target="../tables/table760.xml"/><Relationship Id="rId3" Type="http://schemas.openxmlformats.org/officeDocument/2006/relationships/table" Target="../tables/table755.xml"/><Relationship Id="rId7" Type="http://schemas.openxmlformats.org/officeDocument/2006/relationships/table" Target="../tables/table759.xml"/><Relationship Id="rId2" Type="http://schemas.openxmlformats.org/officeDocument/2006/relationships/table" Target="../tables/table754.xml"/><Relationship Id="rId1" Type="http://schemas.openxmlformats.org/officeDocument/2006/relationships/printerSettings" Target="../printerSettings/printerSettings96.bin"/><Relationship Id="rId6" Type="http://schemas.openxmlformats.org/officeDocument/2006/relationships/table" Target="../tables/table758.xml"/><Relationship Id="rId5" Type="http://schemas.openxmlformats.org/officeDocument/2006/relationships/table" Target="../tables/table757.xml"/><Relationship Id="rId4" Type="http://schemas.openxmlformats.org/officeDocument/2006/relationships/table" Target="../tables/table756.xml"/><Relationship Id="rId9" Type="http://schemas.openxmlformats.org/officeDocument/2006/relationships/table" Target="../tables/table761.xml"/></Relationships>
</file>

<file path=xl/worksheets/_rels/sheet97.xml.rels><?xml version="1.0" encoding="UTF-8" standalone="yes"?>
<Relationships xmlns="http://schemas.openxmlformats.org/package/2006/relationships"><Relationship Id="rId8" Type="http://schemas.openxmlformats.org/officeDocument/2006/relationships/table" Target="../tables/table768.xml"/><Relationship Id="rId3" Type="http://schemas.openxmlformats.org/officeDocument/2006/relationships/table" Target="../tables/table763.xml"/><Relationship Id="rId7" Type="http://schemas.openxmlformats.org/officeDocument/2006/relationships/table" Target="../tables/table767.xml"/><Relationship Id="rId2" Type="http://schemas.openxmlformats.org/officeDocument/2006/relationships/table" Target="../tables/table762.xml"/><Relationship Id="rId1" Type="http://schemas.openxmlformats.org/officeDocument/2006/relationships/printerSettings" Target="../printerSettings/printerSettings97.bin"/><Relationship Id="rId6" Type="http://schemas.openxmlformats.org/officeDocument/2006/relationships/table" Target="../tables/table766.xml"/><Relationship Id="rId5" Type="http://schemas.openxmlformats.org/officeDocument/2006/relationships/table" Target="../tables/table765.xml"/><Relationship Id="rId4" Type="http://schemas.openxmlformats.org/officeDocument/2006/relationships/table" Target="../tables/table764.xml"/><Relationship Id="rId9" Type="http://schemas.openxmlformats.org/officeDocument/2006/relationships/table" Target="../tables/table769.xml"/></Relationships>
</file>

<file path=xl/worksheets/_rels/sheet98.xml.rels><?xml version="1.0" encoding="UTF-8" standalone="yes"?>
<Relationships xmlns="http://schemas.openxmlformats.org/package/2006/relationships"><Relationship Id="rId8" Type="http://schemas.openxmlformats.org/officeDocument/2006/relationships/table" Target="../tables/table776.xml"/><Relationship Id="rId3" Type="http://schemas.openxmlformats.org/officeDocument/2006/relationships/table" Target="../tables/table771.xml"/><Relationship Id="rId7" Type="http://schemas.openxmlformats.org/officeDocument/2006/relationships/table" Target="../tables/table775.xml"/><Relationship Id="rId2" Type="http://schemas.openxmlformats.org/officeDocument/2006/relationships/table" Target="../tables/table770.xml"/><Relationship Id="rId1" Type="http://schemas.openxmlformats.org/officeDocument/2006/relationships/printerSettings" Target="../printerSettings/printerSettings98.bin"/><Relationship Id="rId6" Type="http://schemas.openxmlformats.org/officeDocument/2006/relationships/table" Target="../tables/table774.xml"/><Relationship Id="rId5" Type="http://schemas.openxmlformats.org/officeDocument/2006/relationships/table" Target="../tables/table773.xml"/><Relationship Id="rId4" Type="http://schemas.openxmlformats.org/officeDocument/2006/relationships/table" Target="../tables/table772.xml"/><Relationship Id="rId9" Type="http://schemas.openxmlformats.org/officeDocument/2006/relationships/table" Target="../tables/table777.xml"/></Relationships>
</file>

<file path=xl/worksheets/_rels/sheet99.xml.rels><?xml version="1.0" encoding="UTF-8" standalone="yes"?>
<Relationships xmlns="http://schemas.openxmlformats.org/package/2006/relationships"><Relationship Id="rId8" Type="http://schemas.openxmlformats.org/officeDocument/2006/relationships/table" Target="../tables/table784.xml"/><Relationship Id="rId3" Type="http://schemas.openxmlformats.org/officeDocument/2006/relationships/table" Target="../tables/table779.xml"/><Relationship Id="rId7" Type="http://schemas.openxmlformats.org/officeDocument/2006/relationships/table" Target="../tables/table783.xml"/><Relationship Id="rId2" Type="http://schemas.openxmlformats.org/officeDocument/2006/relationships/table" Target="../tables/table778.xml"/><Relationship Id="rId1" Type="http://schemas.openxmlformats.org/officeDocument/2006/relationships/printerSettings" Target="../printerSettings/printerSettings99.bin"/><Relationship Id="rId6" Type="http://schemas.openxmlformats.org/officeDocument/2006/relationships/table" Target="../tables/table782.xml"/><Relationship Id="rId5" Type="http://schemas.openxmlformats.org/officeDocument/2006/relationships/table" Target="../tables/table781.xml"/><Relationship Id="rId4" Type="http://schemas.openxmlformats.org/officeDocument/2006/relationships/table" Target="../tables/table780.xml"/><Relationship Id="rId9" Type="http://schemas.openxmlformats.org/officeDocument/2006/relationships/table" Target="../tables/table78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P132"/>
  <sheetViews>
    <sheetView showGridLines="0" tabSelected="1" zoomScaleNormal="100" zoomScalePageLayoutView="70" workbookViewId="0">
      <pane ySplit="4" topLeftCell="A25" activePane="bottomLeft" state="frozen"/>
      <selection pane="bottomLeft" activeCell="B36" sqref="B36"/>
    </sheetView>
  </sheetViews>
  <sheetFormatPr defaultColWidth="9.109375" defaultRowHeight="14.4" x14ac:dyDescent="0.3"/>
  <cols>
    <col min="1" max="1" width="9.109375" style="45"/>
    <col min="2" max="2" width="30.6640625" style="45" customWidth="1"/>
    <col min="3" max="3" width="25.6640625" style="45" customWidth="1"/>
    <col min="4" max="4" width="20.6640625" style="45" customWidth="1"/>
    <col min="5" max="5" width="15.6640625" style="45" customWidth="1"/>
    <col min="6" max="13" width="14.6640625" style="45" customWidth="1"/>
    <col min="14" max="14" width="20.6640625" style="45" customWidth="1"/>
    <col min="15" max="15" width="3.6640625" style="45" customWidth="1"/>
    <col min="16" max="16384" width="9.109375" style="45"/>
  </cols>
  <sheetData>
    <row r="1" spans="1:14" ht="11.1" customHeight="1" x14ac:dyDescent="0.25"/>
    <row r="2" spans="1:14" ht="21" x14ac:dyDescent="0.35">
      <c r="A2" s="167" t="s">
        <v>39</v>
      </c>
      <c r="B2" s="167"/>
      <c r="C2" s="167"/>
      <c r="D2" s="167"/>
      <c r="E2" s="167"/>
      <c r="F2" s="167"/>
      <c r="G2" s="167"/>
      <c r="H2" s="167"/>
      <c r="I2" s="167"/>
      <c r="J2" s="167"/>
      <c r="K2" s="167"/>
      <c r="L2" s="167"/>
      <c r="M2" s="167"/>
      <c r="N2" s="46"/>
    </row>
    <row r="3" spans="1:14" ht="26.25" x14ac:dyDescent="0.4">
      <c r="A3" s="171" t="s">
        <v>40</v>
      </c>
      <c r="B3" s="171"/>
      <c r="C3" s="171"/>
      <c r="D3" s="171"/>
      <c r="E3" s="171"/>
      <c r="F3" s="171"/>
      <c r="G3" s="171"/>
      <c r="H3" s="171"/>
      <c r="I3" s="171"/>
      <c r="J3" s="171"/>
      <c r="K3" s="171"/>
      <c r="L3" s="171"/>
      <c r="M3" s="171"/>
    </row>
    <row r="4" spans="1:14" ht="11.1" customHeight="1" x14ac:dyDescent="0.4">
      <c r="B4" s="47"/>
      <c r="C4" s="47"/>
      <c r="D4" s="47"/>
      <c r="E4" s="47"/>
      <c r="F4" s="47"/>
      <c r="G4" s="47"/>
      <c r="H4" s="47"/>
      <c r="I4" s="82"/>
      <c r="J4" s="82"/>
      <c r="K4" s="82"/>
      <c r="L4" s="82"/>
      <c r="M4" s="82"/>
    </row>
    <row r="5" spans="1:14" ht="15" customHeight="1" x14ac:dyDescent="0.3">
      <c r="A5" s="168" t="s">
        <v>72</v>
      </c>
      <c r="B5" s="168"/>
      <c r="C5" s="168"/>
      <c r="D5" s="168"/>
      <c r="E5" s="168"/>
      <c r="F5" s="168"/>
      <c r="G5" s="168"/>
      <c r="H5" s="168"/>
      <c r="I5" s="168"/>
      <c r="J5" s="168"/>
      <c r="K5" s="168"/>
      <c r="L5" s="168"/>
      <c r="M5" s="168"/>
      <c r="N5" s="168"/>
    </row>
    <row r="6" spans="1:14" x14ac:dyDescent="0.3">
      <c r="A6" s="168"/>
      <c r="B6" s="168"/>
      <c r="C6" s="168"/>
      <c r="D6" s="168"/>
      <c r="E6" s="168"/>
      <c r="F6" s="168"/>
      <c r="G6" s="168"/>
      <c r="H6" s="168"/>
      <c r="I6" s="168"/>
      <c r="J6" s="168"/>
      <c r="K6" s="168"/>
      <c r="L6" s="168"/>
      <c r="M6" s="168"/>
      <c r="N6" s="168"/>
    </row>
    <row r="7" spans="1:14" x14ac:dyDescent="0.3">
      <c r="A7" s="168"/>
      <c r="B7" s="168"/>
      <c r="C7" s="168"/>
      <c r="D7" s="168"/>
      <c r="E7" s="168"/>
      <c r="F7" s="168"/>
      <c r="G7" s="168"/>
      <c r="H7" s="168"/>
      <c r="I7" s="168"/>
      <c r="J7" s="168"/>
      <c r="K7" s="168"/>
      <c r="L7" s="168"/>
      <c r="M7" s="168"/>
      <c r="N7" s="168"/>
    </row>
    <row r="8" spans="1:14" ht="6.9" customHeight="1" x14ac:dyDescent="0.25">
      <c r="A8" s="76"/>
      <c r="B8" s="76"/>
      <c r="C8" s="76"/>
      <c r="D8" s="76"/>
      <c r="E8" s="76"/>
      <c r="F8" s="76"/>
      <c r="G8" s="76"/>
      <c r="H8" s="76"/>
      <c r="I8" s="76"/>
      <c r="J8" s="76"/>
      <c r="K8" s="76"/>
      <c r="L8" s="76"/>
      <c r="M8" s="76"/>
      <c r="N8" s="76"/>
    </row>
    <row r="9" spans="1:14" ht="15" x14ac:dyDescent="0.25">
      <c r="A9" s="159" t="s">
        <v>0</v>
      </c>
      <c r="B9" s="160"/>
      <c r="C9" s="160"/>
      <c r="D9" s="160"/>
      <c r="E9" s="160"/>
      <c r="F9" s="160"/>
      <c r="G9" s="160"/>
      <c r="H9" s="160"/>
      <c r="I9" s="160"/>
      <c r="J9" s="160"/>
      <c r="K9" s="160"/>
      <c r="L9" s="160"/>
      <c r="M9" s="160"/>
      <c r="N9" s="161"/>
    </row>
    <row r="10" spans="1:14" s="49" customFormat="1" ht="15" x14ac:dyDescent="0.25">
      <c r="B10" s="48"/>
      <c r="C10" s="48"/>
      <c r="D10" s="48"/>
      <c r="E10" s="48"/>
      <c r="F10" s="48"/>
      <c r="G10" s="48"/>
      <c r="H10" s="48"/>
      <c r="I10" s="48"/>
      <c r="J10" s="48"/>
      <c r="K10" s="48"/>
      <c r="L10" s="48"/>
      <c r="M10" s="48"/>
    </row>
    <row r="11" spans="1:14" ht="15.75" x14ac:dyDescent="0.25">
      <c r="C11" s="50" t="s">
        <v>41</v>
      </c>
      <c r="D11" s="169"/>
      <c r="E11" s="169"/>
      <c r="I11" s="51" t="s">
        <v>2</v>
      </c>
      <c r="J11" s="169"/>
      <c r="K11" s="169"/>
      <c r="L11" s="51"/>
      <c r="M11" s="51"/>
    </row>
    <row r="12" spans="1:14" ht="15.75" x14ac:dyDescent="0.25">
      <c r="C12" s="50" t="s">
        <v>1</v>
      </c>
      <c r="D12" s="172"/>
      <c r="E12" s="172"/>
      <c r="I12" s="50" t="s">
        <v>3</v>
      </c>
      <c r="J12" s="170"/>
      <c r="K12" s="170"/>
      <c r="L12" s="50"/>
      <c r="M12" s="50"/>
    </row>
    <row r="13" spans="1:14" ht="11.1" customHeight="1" x14ac:dyDescent="0.25">
      <c r="B13" s="3"/>
      <c r="C13" s="3"/>
      <c r="D13" s="3"/>
      <c r="E13" s="3"/>
      <c r="F13" s="52"/>
      <c r="G13" s="53"/>
      <c r="H13" s="54"/>
      <c r="I13" s="54"/>
      <c r="J13" s="54"/>
      <c r="K13" s="54"/>
      <c r="L13" s="54"/>
      <c r="M13" s="54"/>
    </row>
    <row r="14" spans="1:14" ht="15" x14ac:dyDescent="0.25">
      <c r="A14" s="159" t="s">
        <v>6</v>
      </c>
      <c r="B14" s="160"/>
      <c r="C14" s="160"/>
      <c r="D14" s="160"/>
      <c r="E14" s="160"/>
      <c r="F14" s="160"/>
      <c r="G14" s="160"/>
      <c r="H14" s="160"/>
      <c r="I14" s="160"/>
      <c r="J14" s="160"/>
      <c r="K14" s="160"/>
      <c r="L14" s="160"/>
      <c r="M14" s="160"/>
      <c r="N14" s="161"/>
    </row>
    <row r="15" spans="1:14" s="49" customFormat="1" ht="11.1" customHeight="1" x14ac:dyDescent="0.25">
      <c r="B15" s="55"/>
      <c r="C15" s="55"/>
      <c r="D15" s="55"/>
      <c r="E15" s="55"/>
      <c r="F15" s="55"/>
      <c r="G15" s="55"/>
      <c r="H15" s="55"/>
      <c r="I15" s="55"/>
      <c r="J15" s="55"/>
      <c r="K15" s="55"/>
      <c r="L15" s="55"/>
      <c r="M15" s="55"/>
      <c r="N15" s="55"/>
    </row>
    <row r="16" spans="1:14" s="3" customFormat="1" ht="15" customHeight="1" x14ac:dyDescent="0.3">
      <c r="A16" s="168" t="s">
        <v>73</v>
      </c>
      <c r="B16" s="168"/>
      <c r="C16" s="168"/>
      <c r="D16" s="168"/>
      <c r="E16" s="168"/>
      <c r="F16" s="168"/>
      <c r="G16" s="168"/>
      <c r="H16" s="168"/>
      <c r="I16" s="168"/>
      <c r="J16" s="168"/>
      <c r="K16" s="168"/>
      <c r="L16" s="168"/>
      <c r="M16" s="168"/>
      <c r="N16" s="168"/>
    </row>
    <row r="17" spans="1:14" s="3" customFormat="1" x14ac:dyDescent="0.3">
      <c r="A17" s="168"/>
      <c r="B17" s="168"/>
      <c r="C17" s="168"/>
      <c r="D17" s="168"/>
      <c r="E17" s="168"/>
      <c r="F17" s="168"/>
      <c r="G17" s="168"/>
      <c r="H17" s="168"/>
      <c r="I17" s="168"/>
      <c r="J17" s="168"/>
      <c r="K17" s="168"/>
      <c r="L17" s="168"/>
      <c r="M17" s="168"/>
      <c r="N17" s="168"/>
    </row>
    <row r="18" spans="1:14" s="3" customFormat="1" x14ac:dyDescent="0.3">
      <c r="A18" s="168"/>
      <c r="B18" s="168"/>
      <c r="C18" s="168"/>
      <c r="D18" s="168"/>
      <c r="E18" s="168"/>
      <c r="F18" s="168"/>
      <c r="G18" s="168"/>
      <c r="H18" s="168"/>
      <c r="I18" s="168"/>
      <c r="J18" s="168"/>
      <c r="K18" s="168"/>
      <c r="L18" s="168"/>
      <c r="M18" s="168"/>
      <c r="N18" s="168"/>
    </row>
    <row r="19" spans="1:14" s="14" customFormat="1" ht="11.1" customHeight="1" x14ac:dyDescent="0.25">
      <c r="B19" s="56"/>
      <c r="C19" s="56"/>
      <c r="D19" s="56"/>
      <c r="E19" s="56"/>
      <c r="F19" s="56"/>
      <c r="G19" s="56"/>
      <c r="H19" s="56"/>
      <c r="I19" s="56"/>
      <c r="J19" s="56"/>
      <c r="K19" s="56"/>
      <c r="L19" s="56"/>
      <c r="M19" s="56"/>
      <c r="N19" s="56"/>
    </row>
    <row r="20" spans="1:14" s="3" customFormat="1" ht="24.9" customHeight="1" x14ac:dyDescent="0.25">
      <c r="C20" s="165"/>
      <c r="D20" s="165"/>
      <c r="E20" s="165"/>
      <c r="F20" s="165"/>
      <c r="G20" s="165"/>
      <c r="I20" s="7"/>
      <c r="J20" s="157"/>
      <c r="K20" s="157"/>
      <c r="L20" s="7"/>
      <c r="M20" s="7"/>
    </row>
    <row r="21" spans="1:14" s="3" customFormat="1" ht="15.75" x14ac:dyDescent="0.25">
      <c r="C21" s="57" t="s">
        <v>7</v>
      </c>
      <c r="D21" s="58"/>
      <c r="F21" s="59"/>
      <c r="J21" s="60" t="s">
        <v>8</v>
      </c>
    </row>
    <row r="22" spans="1:14" s="3" customFormat="1" ht="24.9" customHeight="1" x14ac:dyDescent="0.25">
      <c r="C22" s="166"/>
      <c r="D22" s="166"/>
      <c r="E22" s="166"/>
      <c r="F22" s="166"/>
      <c r="G22" s="166"/>
      <c r="I22" s="7"/>
      <c r="J22" s="166"/>
      <c r="K22" s="166"/>
      <c r="L22" s="7"/>
      <c r="M22" s="7"/>
    </row>
    <row r="23" spans="1:14" s="3" customFormat="1" ht="15.75" x14ac:dyDescent="0.25">
      <c r="C23" s="57" t="s">
        <v>43</v>
      </c>
      <c r="D23" s="58"/>
      <c r="F23" s="59"/>
      <c r="J23" s="60" t="s">
        <v>8</v>
      </c>
    </row>
    <row r="24" spans="1:14" ht="11.1" customHeight="1" x14ac:dyDescent="0.25">
      <c r="B24" s="61"/>
      <c r="C24" s="62"/>
      <c r="D24" s="3"/>
      <c r="E24" s="63"/>
      <c r="F24" s="3"/>
      <c r="G24" s="3"/>
      <c r="H24" s="63"/>
      <c r="I24" s="63"/>
      <c r="J24" s="63"/>
      <c r="K24" s="63"/>
      <c r="L24" s="63"/>
      <c r="M24" s="63"/>
    </row>
    <row r="25" spans="1:14" ht="15" x14ac:dyDescent="0.25">
      <c r="A25" s="159" t="s">
        <v>17</v>
      </c>
      <c r="B25" s="160"/>
      <c r="C25" s="160"/>
      <c r="D25" s="160"/>
      <c r="E25" s="160"/>
      <c r="F25" s="160"/>
      <c r="G25" s="160"/>
      <c r="H25" s="160"/>
      <c r="I25" s="160"/>
      <c r="J25" s="160"/>
      <c r="K25" s="160"/>
      <c r="L25" s="160"/>
      <c r="M25" s="160"/>
      <c r="N25" s="161"/>
    </row>
    <row r="26" spans="1:14" s="49" customFormat="1" ht="11.1" customHeight="1" x14ac:dyDescent="0.25">
      <c r="B26" s="48"/>
      <c r="C26" s="48"/>
      <c r="D26" s="48"/>
      <c r="E26" s="48"/>
      <c r="F26" s="48"/>
      <c r="G26" s="48"/>
      <c r="H26" s="48"/>
      <c r="I26" s="48"/>
      <c r="J26" s="48"/>
      <c r="K26" s="48"/>
      <c r="L26" s="48"/>
      <c r="M26" s="48"/>
    </row>
    <row r="27" spans="1:14" ht="15.75" customHeight="1" x14ac:dyDescent="0.25">
      <c r="B27" s="51" t="s">
        <v>4</v>
      </c>
      <c r="C27" s="77"/>
      <c r="D27" s="52" t="s">
        <v>5</v>
      </c>
      <c r="E27" s="157"/>
      <c r="F27" s="157"/>
      <c r="G27" s="48"/>
      <c r="H27" s="64" t="s">
        <v>14</v>
      </c>
      <c r="I27" s="64"/>
      <c r="J27" s="65" t="s">
        <v>37</v>
      </c>
      <c r="L27" s="64"/>
      <c r="M27" s="64"/>
    </row>
    <row r="28" spans="1:14" s="49" customFormat="1" ht="15.75" customHeight="1" x14ac:dyDescent="0.25">
      <c r="B28" s="66"/>
      <c r="C28" s="67"/>
      <c r="D28" s="68"/>
      <c r="E28" s="69"/>
      <c r="F28" s="69"/>
      <c r="G28" s="48"/>
      <c r="H28" s="48"/>
      <c r="I28" s="48"/>
      <c r="J28" s="70" t="s">
        <v>42</v>
      </c>
      <c r="L28" s="48"/>
      <c r="M28" s="48"/>
    </row>
    <row r="29" spans="1:14" s="72" customFormat="1" ht="11.1" customHeight="1" x14ac:dyDescent="0.25">
      <c r="B29" s="64"/>
      <c r="C29" s="70"/>
      <c r="D29" s="62"/>
      <c r="E29" s="71"/>
      <c r="F29" s="63"/>
      <c r="G29" s="70"/>
      <c r="H29" s="71"/>
      <c r="I29" s="71"/>
      <c r="J29" s="71"/>
      <c r="K29" s="71"/>
      <c r="L29" s="71"/>
      <c r="M29" s="71"/>
    </row>
    <row r="30" spans="1:14" s="72" customFormat="1" ht="15" customHeight="1" x14ac:dyDescent="0.25">
      <c r="A30" s="162" t="s">
        <v>38</v>
      </c>
      <c r="B30" s="163"/>
      <c r="C30" s="163"/>
      <c r="D30" s="163"/>
      <c r="E30" s="163"/>
      <c r="F30" s="163"/>
      <c r="G30" s="163"/>
      <c r="H30" s="163"/>
      <c r="I30" s="163"/>
      <c r="J30" s="163"/>
      <c r="K30" s="163"/>
      <c r="L30" s="163"/>
      <c r="M30" s="163"/>
      <c r="N30" s="164"/>
    </row>
    <row r="31" spans="1:14" s="70" customFormat="1" ht="24.9" customHeight="1" x14ac:dyDescent="0.25">
      <c r="A31" s="158" t="s">
        <v>15</v>
      </c>
      <c r="B31" s="158"/>
      <c r="C31" s="158"/>
      <c r="D31" s="156">
        <f>COUNTA(Summary_Sheet[Property Address])</f>
        <v>100</v>
      </c>
      <c r="E31" s="156"/>
      <c r="F31" s="158" t="s">
        <v>16</v>
      </c>
      <c r="G31" s="158"/>
      <c r="H31" s="158"/>
      <c r="I31" s="158"/>
      <c r="J31" s="158"/>
      <c r="K31" s="158"/>
      <c r="L31" s="158"/>
      <c r="M31" s="158"/>
      <c r="N31" s="99">
        <f>SUM(Summary_Sheet[Total Requested              Loan Amount])</f>
        <v>2496673</v>
      </c>
    </row>
    <row r="32" spans="1:14" s="73" customFormat="1" ht="121.5" customHeight="1" x14ac:dyDescent="0.25">
      <c r="A32" s="85" t="s">
        <v>35</v>
      </c>
      <c r="B32" s="85" t="s">
        <v>12</v>
      </c>
      <c r="C32" s="85" t="s">
        <v>13</v>
      </c>
      <c r="D32" s="86" t="s">
        <v>9</v>
      </c>
      <c r="E32" s="87" t="s">
        <v>10</v>
      </c>
      <c r="F32" s="88" t="s">
        <v>50</v>
      </c>
      <c r="G32" s="88" t="s">
        <v>49</v>
      </c>
      <c r="H32" s="88" t="s">
        <v>47</v>
      </c>
      <c r="I32" s="88" t="s">
        <v>48</v>
      </c>
      <c r="J32" s="88" t="s">
        <v>45</v>
      </c>
      <c r="K32" s="88" t="s">
        <v>46</v>
      </c>
      <c r="L32" s="88" t="s">
        <v>11</v>
      </c>
      <c r="M32" s="88" t="s">
        <v>44</v>
      </c>
      <c r="N32" s="88" t="s">
        <v>18</v>
      </c>
    </row>
    <row r="33" spans="1:14" s="74" customFormat="1" ht="15" x14ac:dyDescent="0.2">
      <c r="A33" s="94">
        <v>1</v>
      </c>
      <c r="B33" s="139" t="s">
        <v>88</v>
      </c>
      <c r="C33" s="126"/>
      <c r="D33" s="78" t="s">
        <v>74</v>
      </c>
      <c r="E33" s="79" t="s">
        <v>81</v>
      </c>
      <c r="F33" s="137">
        <f>SUM(Grass_1[Amount])</f>
        <v>0</v>
      </c>
      <c r="G33" s="84">
        <f>SUM(Tree_1[Amount])</f>
        <v>0</v>
      </c>
      <c r="H33" s="84">
        <f>SUM(Pest_1[Amount])</f>
        <v>0</v>
      </c>
      <c r="I33" s="84">
        <f>SUM(Garbage_1[Amount])</f>
        <v>0</v>
      </c>
      <c r="J33" s="84">
        <f>SUM(Boarding_1[Amount])</f>
        <v>0</v>
      </c>
      <c r="K33" s="84">
        <f>SUM(Fence_1[Amount])</f>
        <v>0</v>
      </c>
      <c r="L33" s="84">
        <f>SUM(Demolition_1[Amount])</f>
        <v>19810</v>
      </c>
      <c r="M33" s="84">
        <f>SUM(Rehab_1[Amount])</f>
        <v>0</v>
      </c>
      <c r="N33" s="91">
        <f>SUM(Summary_Sheet[[#This Row],[Cutting grass/ neglected weeds]:[Rehabilitation]])</f>
        <v>19810</v>
      </c>
    </row>
    <row r="34" spans="1:14" s="74" customFormat="1" ht="15" x14ac:dyDescent="0.2">
      <c r="A34" s="95">
        <v>2</v>
      </c>
      <c r="B34" s="139" t="s">
        <v>82</v>
      </c>
      <c r="C34" s="127"/>
      <c r="D34" s="80" t="s">
        <v>75</v>
      </c>
      <c r="E34" s="81" t="s">
        <v>79</v>
      </c>
      <c r="F34" s="121">
        <f>SUM(Grass_2[Amount])</f>
        <v>0</v>
      </c>
      <c r="G34" s="122">
        <f>SUM(Tree_2[Amount])</f>
        <v>0</v>
      </c>
      <c r="H34" s="122">
        <f>SUM(Pest_2[Amount])</f>
        <v>0</v>
      </c>
      <c r="I34" s="122">
        <f>SUM(Garbage_2[Amount])</f>
        <v>0</v>
      </c>
      <c r="J34" s="122">
        <f>SUM(Boarding_2[Amount])</f>
        <v>0</v>
      </c>
      <c r="K34" s="122">
        <f>SUM(Fence_2[Amount])</f>
        <v>0</v>
      </c>
      <c r="L34" s="122">
        <f>SUM(Demolition_2[Amount])</f>
        <v>23210</v>
      </c>
      <c r="M34" s="122">
        <f>SUM(Rehab_2[Amount])</f>
        <v>0</v>
      </c>
      <c r="N34" s="124">
        <f>SUM(Summary_Sheet[[#This Row],[Cutting grass/ neglected weeds]:[Rehabilitation]])</f>
        <v>23210</v>
      </c>
    </row>
    <row r="35" spans="1:14" s="74" customFormat="1" ht="15" x14ac:dyDescent="0.2">
      <c r="A35" s="92">
        <v>3</v>
      </c>
      <c r="B35" s="139" t="s">
        <v>83</v>
      </c>
      <c r="C35" s="126"/>
      <c r="D35" s="78" t="s">
        <v>76</v>
      </c>
      <c r="E35" s="79" t="s">
        <v>79</v>
      </c>
      <c r="F35" s="83">
        <f>SUM(Grass_3[Amount])</f>
        <v>0</v>
      </c>
      <c r="G35" s="84">
        <f>SUM(Tree_3[Amount])</f>
        <v>0</v>
      </c>
      <c r="H35" s="84">
        <f>SUM(Pest_3[Amount])</f>
        <v>0</v>
      </c>
      <c r="I35" s="84">
        <f>SUM(Garbage_3[Amount])</f>
        <v>0</v>
      </c>
      <c r="J35" s="84">
        <f>SUM(Boarding_3[Amount])</f>
        <v>0</v>
      </c>
      <c r="K35" s="84">
        <f>SUM(Fence_3[Amount])</f>
        <v>0</v>
      </c>
      <c r="L35" s="84">
        <f>SUM(Demolition_3[Amount])</f>
        <v>19210</v>
      </c>
      <c r="M35" s="84">
        <f>SUM(Rehab_3[Amount])</f>
        <v>0</v>
      </c>
      <c r="N35" s="123">
        <f>SUM(Summary_Sheet[[#This Row],[Cutting grass/ neglected weeds]:[Rehabilitation]])</f>
        <v>19210</v>
      </c>
    </row>
    <row r="36" spans="1:14" s="74" customFormat="1" ht="15" x14ac:dyDescent="0.2">
      <c r="A36" s="95">
        <v>4</v>
      </c>
      <c r="B36" s="139" t="s">
        <v>84</v>
      </c>
      <c r="C36" s="127"/>
      <c r="D36" s="80" t="s">
        <v>76</v>
      </c>
      <c r="E36" s="81" t="s">
        <v>89</v>
      </c>
      <c r="F36" s="121">
        <f>SUM(Grass_4[Amount])</f>
        <v>0</v>
      </c>
      <c r="G36" s="122">
        <f>SUM(Tree_4[Amount])</f>
        <v>0</v>
      </c>
      <c r="H36" s="122">
        <f>SUM(Pest_4[Amount])</f>
        <v>0</v>
      </c>
      <c r="I36" s="122">
        <f>SUM(Garbage_4[Amount])</f>
        <v>0</v>
      </c>
      <c r="J36" s="122">
        <f>SUM(Boarding_4[Amount])</f>
        <v>0</v>
      </c>
      <c r="K36" s="122">
        <f>SUM(Fence_4[Amount])</f>
        <v>0</v>
      </c>
      <c r="L36" s="122">
        <f>SUM(Demolition_4[Amount])</f>
        <v>17810</v>
      </c>
      <c r="M36" s="122">
        <f>SUM(Rehab_4[Amount])</f>
        <v>0</v>
      </c>
      <c r="N36" s="124">
        <f>SUM(Summary_Sheet[[#This Row],[Cutting grass/ neglected weeds]:[Rehabilitation]])</f>
        <v>17810</v>
      </c>
    </row>
    <row r="37" spans="1:14" s="74" customFormat="1" x14ac:dyDescent="0.2">
      <c r="A37" s="92">
        <v>5</v>
      </c>
      <c r="B37" s="139" t="s">
        <v>85</v>
      </c>
      <c r="C37" s="125"/>
      <c r="D37" s="78" t="s">
        <v>75</v>
      </c>
      <c r="E37" s="79" t="s">
        <v>81</v>
      </c>
      <c r="F37" s="83">
        <f>SUM(Grass_5[Amount])</f>
        <v>0</v>
      </c>
      <c r="G37" s="84">
        <f>SUM(Tree_5[Amount])</f>
        <v>0</v>
      </c>
      <c r="H37" s="84">
        <f>SUM(Pest_5[Amount])</f>
        <v>0</v>
      </c>
      <c r="I37" s="84">
        <f>SUM(Garbage_5[Amount])</f>
        <v>0</v>
      </c>
      <c r="J37" s="84">
        <f>SUM(Boarding_5[Amount])</f>
        <v>0</v>
      </c>
      <c r="K37" s="84">
        <f>SUM(Fence_5[Amount])</f>
        <v>0</v>
      </c>
      <c r="L37" s="84">
        <f>SUM(Demolition_5[Amount])</f>
        <v>19210</v>
      </c>
      <c r="M37" s="84">
        <f>SUM(Rehab_5[Amount])</f>
        <v>0</v>
      </c>
      <c r="N37" s="123">
        <f>SUM(Summary_Sheet[[#This Row],[Cutting grass/ neglected weeds]:[Rehabilitation]])</f>
        <v>19210</v>
      </c>
    </row>
    <row r="38" spans="1:14" s="74" customFormat="1" ht="15" x14ac:dyDescent="0.2">
      <c r="A38" s="95">
        <v>6</v>
      </c>
      <c r="B38" s="139" t="s">
        <v>86</v>
      </c>
      <c r="C38" s="127"/>
      <c r="D38" s="80" t="s">
        <v>77</v>
      </c>
      <c r="E38" s="81" t="s">
        <v>90</v>
      </c>
      <c r="F38" s="121">
        <f>SUM(Grass_6[Amount])</f>
        <v>0</v>
      </c>
      <c r="G38" s="122">
        <f>SUM(Tree_6[Amount])</f>
        <v>0</v>
      </c>
      <c r="H38" s="122">
        <f>SUM(Pest_6[Amount])</f>
        <v>0</v>
      </c>
      <c r="I38" s="122">
        <f>SUM(Garbage_6[Amount])</f>
        <v>0</v>
      </c>
      <c r="J38" s="122">
        <f>SUM(Boarding_6[Amount])</f>
        <v>0</v>
      </c>
      <c r="K38" s="122">
        <f>SUM(Fence_6[Amount])</f>
        <v>0</v>
      </c>
      <c r="L38" s="122">
        <f>SUM(Demolition_6[Amount])</f>
        <v>34510</v>
      </c>
      <c r="M38" s="122">
        <f>SUM(Rehab_6[Amount])</f>
        <v>0</v>
      </c>
      <c r="N38" s="124">
        <f>SUM(Summary_Sheet[[#This Row],[Cutting grass/ neglected weeds]:[Rehabilitation]])</f>
        <v>34510</v>
      </c>
    </row>
    <row r="39" spans="1:14" s="74" customFormat="1" x14ac:dyDescent="0.2">
      <c r="A39" s="92">
        <v>7</v>
      </c>
      <c r="B39" s="139" t="s">
        <v>87</v>
      </c>
      <c r="C39" s="126"/>
      <c r="D39" s="78" t="s">
        <v>75</v>
      </c>
      <c r="E39" s="79" t="s">
        <v>89</v>
      </c>
      <c r="F39" s="83">
        <f>SUM(Grass_7[Amount])</f>
        <v>0</v>
      </c>
      <c r="G39" s="84">
        <f>SUM(Tree_7[Amount])</f>
        <v>0</v>
      </c>
      <c r="H39" s="84">
        <f>SUM(Pest_7[Amount])</f>
        <v>0</v>
      </c>
      <c r="I39" s="84">
        <f>SUM(Garbage_7[Amount])</f>
        <v>0</v>
      </c>
      <c r="J39" s="84">
        <f>SUM(Boarding_7[Amount])</f>
        <v>0</v>
      </c>
      <c r="K39" s="84">
        <f>SUM(Fence_7[Amount])</f>
        <v>0</v>
      </c>
      <c r="L39" s="84">
        <f>SUM(Demolition_7[Amount])</f>
        <v>98270</v>
      </c>
      <c r="M39" s="84">
        <f>SUM(Rehab_7[Amount])</f>
        <v>0</v>
      </c>
      <c r="N39" s="123">
        <f>SUM(Summary_Sheet[[#This Row],[Cutting grass/ neglected weeds]:[Rehabilitation]])</f>
        <v>98270</v>
      </c>
    </row>
    <row r="40" spans="1:14" s="74" customFormat="1" ht="15" x14ac:dyDescent="0.2">
      <c r="A40" s="95">
        <v>8</v>
      </c>
      <c r="B40" s="139" t="s">
        <v>91</v>
      </c>
      <c r="C40" s="127"/>
      <c r="D40" s="80" t="s">
        <v>78</v>
      </c>
      <c r="E40" s="81" t="s">
        <v>90</v>
      </c>
      <c r="F40" s="121">
        <f>SUM(Grass_8[Amount])</f>
        <v>0</v>
      </c>
      <c r="G40" s="122">
        <f>SUM(Tree_8[Amount])</f>
        <v>0</v>
      </c>
      <c r="H40" s="122">
        <f>SUM(Pest_8[Amount])</f>
        <v>0</v>
      </c>
      <c r="I40" s="122">
        <f>SUM(Garbage_8[Amount])</f>
        <v>0</v>
      </c>
      <c r="J40" s="122">
        <f>SUM(Boarding_8[Amount])</f>
        <v>0</v>
      </c>
      <c r="K40" s="122">
        <f>SUM(Fence_8[Amount])</f>
        <v>0</v>
      </c>
      <c r="L40" s="122">
        <f>SUM(Demolition_8[Amount])</f>
        <v>25510</v>
      </c>
      <c r="M40" s="122">
        <f>SUM(Rehab_8[Amount])</f>
        <v>0</v>
      </c>
      <c r="N40" s="124">
        <f>SUM(Summary_Sheet[[#This Row],[Cutting grass/ neglected weeds]:[Rehabilitation]])</f>
        <v>25510</v>
      </c>
    </row>
    <row r="41" spans="1:14" s="74" customFormat="1" x14ac:dyDescent="0.2">
      <c r="A41" s="92">
        <v>9</v>
      </c>
      <c r="B41" s="139" t="s">
        <v>92</v>
      </c>
      <c r="C41" s="126" t="s">
        <v>199</v>
      </c>
      <c r="D41" s="78" t="s">
        <v>78</v>
      </c>
      <c r="E41" s="79" t="s">
        <v>79</v>
      </c>
      <c r="F41" s="83">
        <f>SUM(Grass_9[Amount])</f>
        <v>0</v>
      </c>
      <c r="G41" s="84">
        <f>SUM(Tree_9[Amount])</f>
        <v>0</v>
      </c>
      <c r="H41" s="84">
        <f>SUM(Pest_9[Amount])</f>
        <v>0</v>
      </c>
      <c r="I41" s="84">
        <f>SUM(Garbage_9[Amount])</f>
        <v>0</v>
      </c>
      <c r="J41" s="84">
        <f>SUM(Boarding_9[Amount])</f>
        <v>0</v>
      </c>
      <c r="K41" s="84">
        <f>SUM(Fence_9[Amount])</f>
        <v>0</v>
      </c>
      <c r="L41" s="84">
        <f>SUM(Demolition_9[Amount])</f>
        <v>17310</v>
      </c>
      <c r="M41" s="84">
        <f>SUM(Rehab_9[Amount])</f>
        <v>0</v>
      </c>
      <c r="N41" s="123">
        <f>SUM(Summary_Sheet[[#This Row],[Cutting grass/ neglected weeds]:[Rehabilitation]])</f>
        <v>17310</v>
      </c>
    </row>
    <row r="42" spans="1:14" s="74" customFormat="1" ht="15" x14ac:dyDescent="0.2">
      <c r="A42" s="95">
        <v>10</v>
      </c>
      <c r="B42" s="139" t="s">
        <v>93</v>
      </c>
      <c r="C42" s="127"/>
      <c r="D42" s="80" t="s">
        <v>76</v>
      </c>
      <c r="E42" s="81" t="s">
        <v>79</v>
      </c>
      <c r="F42" s="121">
        <f>SUM(Grass_10[Amount])</f>
        <v>0</v>
      </c>
      <c r="G42" s="122">
        <f>SUM(Tree_10[Amount])</f>
        <v>0</v>
      </c>
      <c r="H42" s="122">
        <f>SUM(Pest_10[Amount])</f>
        <v>0</v>
      </c>
      <c r="I42" s="122">
        <f>SUM(Garbage_10[Amount])</f>
        <v>0</v>
      </c>
      <c r="J42" s="122">
        <f>SUM(Boarding_10[Amount])</f>
        <v>0</v>
      </c>
      <c r="K42" s="122">
        <f>SUM(Fence_10[Amount])</f>
        <v>0</v>
      </c>
      <c r="L42" s="122">
        <f>SUM(Demolition_10[Amount])</f>
        <v>16710</v>
      </c>
      <c r="M42" s="122">
        <f>SUM(Rehab_10[Amount])</f>
        <v>0</v>
      </c>
      <c r="N42" s="124">
        <f>SUM(Summary_Sheet[[#This Row],[Cutting grass/ neglected weeds]:[Rehabilitation]])</f>
        <v>16710</v>
      </c>
    </row>
    <row r="43" spans="1:14" s="93" customFormat="1" x14ac:dyDescent="0.2">
      <c r="A43" s="92">
        <v>11</v>
      </c>
      <c r="B43" s="139" t="s">
        <v>94</v>
      </c>
      <c r="C43" s="125"/>
      <c r="D43" s="78" t="s">
        <v>76</v>
      </c>
      <c r="E43" s="79" t="s">
        <v>121</v>
      </c>
      <c r="F43" s="83">
        <f>SUM(Grass_11[Amount])</f>
        <v>0</v>
      </c>
      <c r="G43" s="84">
        <f>SUM(Tree_11[Amount])</f>
        <v>0</v>
      </c>
      <c r="H43" s="84">
        <f>SUM(Pest_11[Amount])</f>
        <v>0</v>
      </c>
      <c r="I43" s="84">
        <f>SUM(Garbage_11[Amount])</f>
        <v>0</v>
      </c>
      <c r="J43" s="84">
        <f>SUM(Boarding_11[Amount])</f>
        <v>0</v>
      </c>
      <c r="K43" s="84">
        <f>SUM(Fence_11[Amount])</f>
        <v>0</v>
      </c>
      <c r="L43" s="84">
        <f>SUM(Demolition_11[Amount])</f>
        <v>20210</v>
      </c>
      <c r="M43" s="84">
        <f>SUM(Rehab_11[Amount])</f>
        <v>0</v>
      </c>
      <c r="N43" s="123">
        <f>SUM(Summary_Sheet[[#This Row],[Cutting grass/ neglected weeds]:[Rehabilitation]])</f>
        <v>20210</v>
      </c>
    </row>
    <row r="44" spans="1:14" s="74" customFormat="1" ht="15" x14ac:dyDescent="0.2">
      <c r="A44" s="95">
        <v>12</v>
      </c>
      <c r="B44" s="139" t="s">
        <v>95</v>
      </c>
      <c r="C44" s="127"/>
      <c r="D44" s="80" t="s">
        <v>76</v>
      </c>
      <c r="E44" s="81" t="s">
        <v>90</v>
      </c>
      <c r="F44" s="121">
        <f>SUM(Grass_12[Amount])</f>
        <v>0</v>
      </c>
      <c r="G44" s="122">
        <f>SUM(Tree_12[Amount])</f>
        <v>0</v>
      </c>
      <c r="H44" s="122">
        <f>SUM(Pest_12[Amount])</f>
        <v>0</v>
      </c>
      <c r="I44" s="122">
        <f>SUM(Garbage_12[Amount])</f>
        <v>0</v>
      </c>
      <c r="J44" s="122">
        <f>SUM(Boarding_12[Amount])</f>
        <v>0</v>
      </c>
      <c r="K44" s="122">
        <f>SUM(Fence_12[Amount])</f>
        <v>0</v>
      </c>
      <c r="L44" s="122">
        <f>SUM(Demolition_12[Amount])</f>
        <v>18510</v>
      </c>
      <c r="M44" s="122">
        <f>SUM(Rehab_12[Amount])</f>
        <v>0</v>
      </c>
      <c r="N44" s="124">
        <f>SUM(Summary_Sheet[[#This Row],[Cutting grass/ neglected weeds]:[Rehabilitation]])</f>
        <v>18510</v>
      </c>
    </row>
    <row r="45" spans="1:14" s="74" customFormat="1" x14ac:dyDescent="0.2">
      <c r="A45" s="92">
        <v>13</v>
      </c>
      <c r="B45" s="139" t="s">
        <v>96</v>
      </c>
      <c r="C45" s="125"/>
      <c r="D45" s="78" t="s">
        <v>76</v>
      </c>
      <c r="E45" s="79" t="s">
        <v>89</v>
      </c>
      <c r="F45" s="83">
        <f>SUM(Grass_13[Amount])</f>
        <v>0</v>
      </c>
      <c r="G45" s="84">
        <f>SUM(Tree_13[Amount])</f>
        <v>0</v>
      </c>
      <c r="H45" s="84">
        <f>SUM(Pest_13[Amount])</f>
        <v>0</v>
      </c>
      <c r="I45" s="84">
        <f>SUM(Garbage_13[Amount])</f>
        <v>0</v>
      </c>
      <c r="J45" s="84">
        <f>SUM(Boarding_13[Amount])</f>
        <v>0</v>
      </c>
      <c r="K45" s="84">
        <f>SUM(Fence_13[Amount])</f>
        <v>0</v>
      </c>
      <c r="L45" s="84">
        <f>SUM(Demolition_13[Amount])</f>
        <v>21510</v>
      </c>
      <c r="M45" s="84">
        <f>SUM(Rehab_13[Amount])</f>
        <v>0</v>
      </c>
      <c r="N45" s="123">
        <f>SUM(Summary_Sheet[[#This Row],[Cutting grass/ neglected weeds]:[Rehabilitation]])</f>
        <v>21510</v>
      </c>
    </row>
    <row r="46" spans="1:14" s="74" customFormat="1" ht="15" x14ac:dyDescent="0.2">
      <c r="A46" s="95">
        <v>14</v>
      </c>
      <c r="B46" s="139" t="s">
        <v>97</v>
      </c>
      <c r="C46" s="127"/>
      <c r="D46" s="80" t="s">
        <v>76</v>
      </c>
      <c r="E46" s="81" t="s">
        <v>122</v>
      </c>
      <c r="F46" s="121">
        <f>SUM(Grass_14[Amount])</f>
        <v>0</v>
      </c>
      <c r="G46" s="122">
        <f>SUM(Tree_14[Amount])</f>
        <v>0</v>
      </c>
      <c r="H46" s="122">
        <f>SUM(Pest_14[Amount])</f>
        <v>0</v>
      </c>
      <c r="I46" s="122">
        <f>SUM(Garbage_14[Amount])</f>
        <v>0</v>
      </c>
      <c r="J46" s="122">
        <f>SUM(Boarding_14[Amount])</f>
        <v>0</v>
      </c>
      <c r="K46" s="122">
        <f>SUM(Fence_14[Amount])</f>
        <v>0</v>
      </c>
      <c r="L46" s="122">
        <f>SUM(Demolition_14[Amount])</f>
        <v>21210</v>
      </c>
      <c r="M46" s="122">
        <f>SUM(Rehab_14[Amount])</f>
        <v>0</v>
      </c>
      <c r="N46" s="124">
        <f>SUM(Summary_Sheet[[#This Row],[Cutting grass/ neglected weeds]:[Rehabilitation]])</f>
        <v>21210</v>
      </c>
    </row>
    <row r="47" spans="1:14" s="74" customFormat="1" x14ac:dyDescent="0.2">
      <c r="A47" s="92">
        <v>15</v>
      </c>
      <c r="B47" s="139" t="s">
        <v>98</v>
      </c>
      <c r="C47" s="125"/>
      <c r="D47" s="78" t="s">
        <v>75</v>
      </c>
      <c r="E47" s="79" t="s">
        <v>79</v>
      </c>
      <c r="F47" s="83">
        <f>SUM(Grass_15[Amount])</f>
        <v>0</v>
      </c>
      <c r="G47" s="84">
        <f>SUM(Tree_15[Amount])</f>
        <v>0</v>
      </c>
      <c r="H47" s="84">
        <f>SUM(Pest_15[Amount])</f>
        <v>0</v>
      </c>
      <c r="I47" s="84">
        <f>SUM(Garbage_15[Amount])</f>
        <v>0</v>
      </c>
      <c r="J47" s="84">
        <f>SUM(Boarding_15[Amount])</f>
        <v>0</v>
      </c>
      <c r="K47" s="84">
        <f>SUM(Fence_15[Amount])</f>
        <v>0</v>
      </c>
      <c r="L47" s="84">
        <f>SUM(Demolition_15[Amount])</f>
        <v>16810</v>
      </c>
      <c r="M47" s="84">
        <f>SUM(Rehab_15[Amount])</f>
        <v>0</v>
      </c>
      <c r="N47" s="123">
        <f>SUM(Summary_Sheet[[#This Row],[Cutting grass/ neglected weeds]:[Rehabilitation]])</f>
        <v>16810</v>
      </c>
    </row>
    <row r="48" spans="1:14" s="74" customFormat="1" ht="15" x14ac:dyDescent="0.2">
      <c r="A48" s="95">
        <v>16</v>
      </c>
      <c r="B48" s="139" t="s">
        <v>200</v>
      </c>
      <c r="C48" s="127"/>
      <c r="D48" s="80" t="s">
        <v>76</v>
      </c>
      <c r="E48" s="81" t="s">
        <v>79</v>
      </c>
      <c r="F48" s="121">
        <f>SUM(Grass_16[Amount])</f>
        <v>0</v>
      </c>
      <c r="G48" s="122">
        <f>SUM(Tree_16[Amount])</f>
        <v>0</v>
      </c>
      <c r="H48" s="122">
        <f>SUM(Pest_16[Amount])</f>
        <v>0</v>
      </c>
      <c r="I48" s="122">
        <f>SUM(Garbage_16[Amount])</f>
        <v>0</v>
      </c>
      <c r="J48" s="122">
        <f>SUM(Boarding_16[Amount])</f>
        <v>0</v>
      </c>
      <c r="K48" s="122">
        <f>SUM(Fence_16[Amount])</f>
        <v>0</v>
      </c>
      <c r="L48" s="122">
        <f>SUM(Demolition_16[Amount])</f>
        <v>17310</v>
      </c>
      <c r="M48" s="122">
        <f>SUM(Rehab_16[Amount])</f>
        <v>0</v>
      </c>
      <c r="N48" s="124">
        <f>SUM(Summary_Sheet[[#This Row],[Cutting grass/ neglected weeds]:[Rehabilitation]])</f>
        <v>17310</v>
      </c>
    </row>
    <row r="49" spans="1:14" s="74" customFormat="1" x14ac:dyDescent="0.2">
      <c r="A49" s="92">
        <v>17</v>
      </c>
      <c r="B49" s="139" t="s">
        <v>99</v>
      </c>
      <c r="C49" s="126"/>
      <c r="D49" s="78" t="s">
        <v>76</v>
      </c>
      <c r="E49" s="79" t="s">
        <v>79</v>
      </c>
      <c r="F49" s="83">
        <f>SUM(Grass_17[Amount])</f>
        <v>0</v>
      </c>
      <c r="G49" s="84">
        <f>SUM(Tree_17[Amount])</f>
        <v>0</v>
      </c>
      <c r="H49" s="84">
        <f>SUM(Pest_17[Amount])</f>
        <v>0</v>
      </c>
      <c r="I49" s="84">
        <f>SUM(Garbage_17[Amount])</f>
        <v>0</v>
      </c>
      <c r="J49" s="84">
        <f>SUM(Boarding_17[Amount])</f>
        <v>0</v>
      </c>
      <c r="K49" s="84">
        <f>SUM(Fence_17[Amount])</f>
        <v>0</v>
      </c>
      <c r="L49" s="84">
        <f>SUM(Demolition_17[Amount])</f>
        <v>16810</v>
      </c>
      <c r="M49" s="84">
        <f>SUM(Rehab_17[Amount])</f>
        <v>0</v>
      </c>
      <c r="N49" s="123">
        <f>SUM(Summary_Sheet[[#This Row],[Cutting grass/ neglected weeds]:[Rehabilitation]])</f>
        <v>16810</v>
      </c>
    </row>
    <row r="50" spans="1:14" s="74" customFormat="1" ht="15" x14ac:dyDescent="0.2">
      <c r="A50" s="95">
        <v>18</v>
      </c>
      <c r="B50" s="139" t="s">
        <v>100</v>
      </c>
      <c r="C50" s="127" t="s">
        <v>195</v>
      </c>
      <c r="D50" s="80" t="s">
        <v>76</v>
      </c>
      <c r="E50" s="81" t="s">
        <v>90</v>
      </c>
      <c r="F50" s="121">
        <f>SUM(Grass_18[Amount])</f>
        <v>0</v>
      </c>
      <c r="G50" s="122">
        <f>SUM(Tree_18[Amount])</f>
        <v>0</v>
      </c>
      <c r="H50" s="122">
        <f>SUM(Pest_18[Amount])</f>
        <v>0</v>
      </c>
      <c r="I50" s="122">
        <f>SUM(Garbage_18[Amount])</f>
        <v>0</v>
      </c>
      <c r="J50" s="122">
        <f>SUM(Boarding_18[Amount])</f>
        <v>0</v>
      </c>
      <c r="K50" s="122">
        <f>SUM(Fence_18[Amount])</f>
        <v>0</v>
      </c>
      <c r="L50" s="122">
        <f>SUM(Demolition_18[Amount])</f>
        <v>23510</v>
      </c>
      <c r="M50" s="122">
        <f>SUM(Rehab_18[Amount])</f>
        <v>0</v>
      </c>
      <c r="N50" s="124">
        <f>SUM(Summary_Sheet[[#This Row],[Cutting grass/ neglected weeds]:[Rehabilitation]])</f>
        <v>23510</v>
      </c>
    </row>
    <row r="51" spans="1:14" s="74" customFormat="1" x14ac:dyDescent="0.2">
      <c r="A51" s="92">
        <v>19</v>
      </c>
      <c r="B51" s="139" t="s">
        <v>101</v>
      </c>
      <c r="C51" s="126"/>
      <c r="D51" s="78" t="s">
        <v>76</v>
      </c>
      <c r="E51" s="79" t="s">
        <v>81</v>
      </c>
      <c r="F51" s="83">
        <f>SUM(Grass_19[Amount])</f>
        <v>0</v>
      </c>
      <c r="G51" s="84">
        <f>SUM(Tree_19[Amount])</f>
        <v>0</v>
      </c>
      <c r="H51" s="84">
        <f>SUM(Pest_19[Amount])</f>
        <v>0</v>
      </c>
      <c r="I51" s="84">
        <f>SUM(Garbage_19[Amount])</f>
        <v>0</v>
      </c>
      <c r="J51" s="84">
        <f>SUM(Boarding_19[Amount])</f>
        <v>0</v>
      </c>
      <c r="K51" s="84">
        <f>SUM(Fence_19[Amount])</f>
        <v>0</v>
      </c>
      <c r="L51" s="84">
        <f>SUM(Demolition_19[Amount])</f>
        <v>0</v>
      </c>
      <c r="M51" s="84">
        <f>SUM(Rehab_19[Amount])</f>
        <v>0</v>
      </c>
      <c r="N51" s="123">
        <f>SUM(Summary_Sheet[[#This Row],[Cutting grass/ neglected weeds]:[Rehabilitation]])</f>
        <v>0</v>
      </c>
    </row>
    <row r="52" spans="1:14" s="74" customFormat="1" x14ac:dyDescent="0.2">
      <c r="A52" s="95">
        <v>20</v>
      </c>
      <c r="B52" s="139" t="s">
        <v>102</v>
      </c>
      <c r="C52" s="127"/>
      <c r="D52" s="80" t="s">
        <v>76</v>
      </c>
      <c r="E52" s="81" t="s">
        <v>123</v>
      </c>
      <c r="F52" s="121">
        <f>SUM(Grass_20[Amount])</f>
        <v>0</v>
      </c>
      <c r="G52" s="122">
        <f>SUM(Tree_20[Amount])</f>
        <v>0</v>
      </c>
      <c r="H52" s="122">
        <f>SUM(Pest_20[Amount])</f>
        <v>0</v>
      </c>
      <c r="I52" s="122">
        <f>SUM(Garbage_20[Amount])</f>
        <v>0</v>
      </c>
      <c r="J52" s="122">
        <f>SUM(Boarding_20[Amount])</f>
        <v>0</v>
      </c>
      <c r="K52" s="122">
        <f>SUM(Fence_20[Amount])</f>
        <v>0</v>
      </c>
      <c r="L52" s="122">
        <f>SUM(Demolition_20[Amount])</f>
        <v>19510</v>
      </c>
      <c r="M52" s="122">
        <f>SUM(Rehab_20[Amount])</f>
        <v>0</v>
      </c>
      <c r="N52" s="124">
        <f>SUM(Summary_Sheet[[#This Row],[Cutting grass/ neglected weeds]:[Rehabilitation]])</f>
        <v>19510</v>
      </c>
    </row>
    <row r="53" spans="1:14" x14ac:dyDescent="0.3">
      <c r="A53" s="128">
        <v>21</v>
      </c>
      <c r="B53" s="139" t="s">
        <v>103</v>
      </c>
      <c r="C53" s="126"/>
      <c r="D53" s="78" t="s">
        <v>78</v>
      </c>
      <c r="E53" s="79" t="s">
        <v>90</v>
      </c>
      <c r="F53" s="83">
        <f>SUM(Grass_20[Amount])</f>
        <v>0</v>
      </c>
      <c r="G53" s="84">
        <f>SUM(Tree_21[Amount])</f>
        <v>0</v>
      </c>
      <c r="H53" s="84">
        <f>SUM(Pest_21[Amount])</f>
        <v>0</v>
      </c>
      <c r="I53" s="84">
        <f>SUM(Garbage_21[Amount])</f>
        <v>0</v>
      </c>
      <c r="J53" s="84">
        <f>SUM(Boarding_21[Amount])</f>
        <v>0</v>
      </c>
      <c r="K53" s="84">
        <f>SUM(Fence_21[Amount])</f>
        <v>0</v>
      </c>
      <c r="L53" s="84">
        <f>SUM(Demolition_21[Amount])</f>
        <v>15700</v>
      </c>
      <c r="M53" s="84">
        <f>SUM(Rehab_21[Amount])</f>
        <v>0</v>
      </c>
      <c r="N53" s="123">
        <f>SUM(Summary_Sheet[[#This Row],[Cutting grass/ neglected weeds]:[Rehabilitation]])</f>
        <v>15700</v>
      </c>
    </row>
    <row r="54" spans="1:14" x14ac:dyDescent="0.3">
      <c r="A54" s="95">
        <v>22</v>
      </c>
      <c r="B54" s="139" t="s">
        <v>104</v>
      </c>
      <c r="C54" s="127"/>
      <c r="D54" s="80" t="s">
        <v>76</v>
      </c>
      <c r="E54" s="81" t="s">
        <v>81</v>
      </c>
      <c r="F54" s="121">
        <f>SUM(Grass_22[Amount])</f>
        <v>0</v>
      </c>
      <c r="G54" s="122">
        <f>SUM(Tree_22[Amount])</f>
        <v>0</v>
      </c>
      <c r="H54" s="122">
        <f>SUM(Pest_22[Amount])</f>
        <v>0</v>
      </c>
      <c r="I54" s="122">
        <f>SUM(Garbage_22[Amount])</f>
        <v>0</v>
      </c>
      <c r="J54" s="122">
        <f>SUM(Boarding_22[Amount])</f>
        <v>0</v>
      </c>
      <c r="K54" s="122">
        <f>SUM(Fence_22[Amount])</f>
        <v>0</v>
      </c>
      <c r="L54" s="122">
        <f>SUM(Demolition_22[Amount])</f>
        <v>20410</v>
      </c>
      <c r="M54" s="122">
        <f>SUM(Rehab_22[Amount])</f>
        <v>0</v>
      </c>
      <c r="N54" s="124">
        <f>SUM(Summary_Sheet[[#This Row],[Cutting grass/ neglected weeds]:[Rehabilitation]])</f>
        <v>20410</v>
      </c>
    </row>
    <row r="55" spans="1:14" x14ac:dyDescent="0.3">
      <c r="A55" s="128">
        <v>23</v>
      </c>
      <c r="B55" s="139" t="s">
        <v>105</v>
      </c>
      <c r="C55" s="126"/>
      <c r="D55" s="78" t="s">
        <v>78</v>
      </c>
      <c r="E55" s="79" t="s">
        <v>90</v>
      </c>
      <c r="F55" s="83">
        <f>SUM(Grass_23[Amount])</f>
        <v>0</v>
      </c>
      <c r="G55" s="84">
        <f>SUM(Tree_23[Amount])</f>
        <v>0</v>
      </c>
      <c r="H55" s="84">
        <f>SUM(Pest_23[Amount])</f>
        <v>0</v>
      </c>
      <c r="I55" s="84">
        <f>SUM(Garbage_23[Amount])</f>
        <v>0</v>
      </c>
      <c r="J55" s="84">
        <f>SUM(Boarding_23[Amount])</f>
        <v>0</v>
      </c>
      <c r="K55" s="84">
        <f>SUM(Fence_23[Amount])</f>
        <v>0</v>
      </c>
      <c r="L55" s="84">
        <f>SUM(Demolition_23[Amount])</f>
        <v>0</v>
      </c>
      <c r="M55" s="84">
        <f>SUM(Rehab_23[Amount])</f>
        <v>0</v>
      </c>
      <c r="N55" s="123">
        <f>SUM(Summary_Sheet[[#This Row],[Cutting grass/ neglected weeds]:[Rehabilitation]])</f>
        <v>0</v>
      </c>
    </row>
    <row r="56" spans="1:14" x14ac:dyDescent="0.3">
      <c r="A56" s="95">
        <v>24</v>
      </c>
      <c r="B56" s="139" t="s">
        <v>106</v>
      </c>
      <c r="C56" s="127"/>
      <c r="D56" s="80" t="s">
        <v>76</v>
      </c>
      <c r="E56" s="81" t="s">
        <v>79</v>
      </c>
      <c r="F56" s="121">
        <f>SUM(Grass_24[Amount])</f>
        <v>0</v>
      </c>
      <c r="G56" s="122">
        <f>SUM(Tree_24[Amount])</f>
        <v>0</v>
      </c>
      <c r="H56" s="122">
        <f>SUM(Pest_24[Amount])</f>
        <v>0</v>
      </c>
      <c r="I56" s="122">
        <f>SUM(Garbage_24[Amount])</f>
        <v>0</v>
      </c>
      <c r="J56" s="122">
        <f>SUM(Boarding_24[Amount])</f>
        <v>0</v>
      </c>
      <c r="K56" s="122">
        <f>SUM(Fence_24[Amount])</f>
        <v>0</v>
      </c>
      <c r="L56" s="122">
        <f>SUM(Demolition_24[Amount])</f>
        <v>0</v>
      </c>
      <c r="M56" s="122">
        <f>SUM(Rehab_24[Amount])</f>
        <v>0</v>
      </c>
      <c r="N56" s="124">
        <f>SUM(Summary_Sheet[[#This Row],[Cutting grass/ neglected weeds]:[Rehabilitation]])</f>
        <v>0</v>
      </c>
    </row>
    <row r="57" spans="1:14" x14ac:dyDescent="0.3">
      <c r="A57" s="128">
        <v>25</v>
      </c>
      <c r="B57" s="139" t="s">
        <v>193</v>
      </c>
      <c r="C57" s="126"/>
      <c r="D57" s="78" t="s">
        <v>75</v>
      </c>
      <c r="E57" s="79" t="s">
        <v>90</v>
      </c>
      <c r="F57" s="83">
        <f>SUM(Grass_25[Amount])</f>
        <v>0</v>
      </c>
      <c r="G57" s="84">
        <f>SUM(Tree_25[Amount])</f>
        <v>0</v>
      </c>
      <c r="H57" s="84">
        <f>SUM(Pest_25[Amount])</f>
        <v>0</v>
      </c>
      <c r="I57" s="84">
        <f>SUM(Garbage_25[Amount])</f>
        <v>0</v>
      </c>
      <c r="J57" s="84">
        <f>SUM(Boarding_25[Amount])</f>
        <v>0</v>
      </c>
      <c r="K57" s="84">
        <f>SUM(Fence_25[Amount])</f>
        <v>0</v>
      </c>
      <c r="L57" s="84">
        <f>SUM(Demolition_25[Amount])</f>
        <v>60510</v>
      </c>
      <c r="M57" s="84">
        <f>SUM(Rehab_25[Amount])</f>
        <v>0</v>
      </c>
      <c r="N57" s="123">
        <f>SUM(Summary_Sheet[[#This Row],[Cutting grass/ neglected weeds]:[Rehabilitation]])</f>
        <v>60510</v>
      </c>
    </row>
    <row r="58" spans="1:14" x14ac:dyDescent="0.3">
      <c r="A58" s="95">
        <v>26</v>
      </c>
      <c r="B58" s="139" t="s">
        <v>107</v>
      </c>
      <c r="C58" s="127"/>
      <c r="D58" s="80" t="s">
        <v>78</v>
      </c>
      <c r="E58" s="81" t="s">
        <v>79</v>
      </c>
      <c r="F58" s="121">
        <f>SUM(Grass_26[Amount])</f>
        <v>0</v>
      </c>
      <c r="G58" s="122">
        <f>SUM(Tree_26[Amount])</f>
        <v>0</v>
      </c>
      <c r="H58" s="122">
        <f>SUM(Pest_26[Amount])</f>
        <v>0</v>
      </c>
      <c r="I58" s="122">
        <f>SUM(Garbage_26[Amount])</f>
        <v>0</v>
      </c>
      <c r="J58" s="122">
        <f>SUM(Boarding_26[Amount])</f>
        <v>0</v>
      </c>
      <c r="K58" s="122">
        <f>SUM(Fence_26[Amount])</f>
        <v>0</v>
      </c>
      <c r="L58" s="122">
        <f>SUM(Demolition_26[Amount])</f>
        <v>18810</v>
      </c>
      <c r="M58" s="122">
        <f>SUM(Rehab_26[Amount])</f>
        <v>0</v>
      </c>
      <c r="N58" s="124">
        <f>SUM(Summary_Sheet[[#This Row],[Cutting grass/ neglected weeds]:[Rehabilitation]])</f>
        <v>18810</v>
      </c>
    </row>
    <row r="59" spans="1:14" x14ac:dyDescent="0.3">
      <c r="A59" s="128">
        <v>27</v>
      </c>
      <c r="B59" s="139" t="s">
        <v>108</v>
      </c>
      <c r="C59" s="126"/>
      <c r="D59" s="78" t="s">
        <v>76</v>
      </c>
      <c r="E59" s="79" t="s">
        <v>90</v>
      </c>
      <c r="F59" s="83">
        <f>SUM(Grass_27[Amount])</f>
        <v>0</v>
      </c>
      <c r="G59" s="84">
        <f>SUM(Tree_27[Amount])</f>
        <v>0</v>
      </c>
      <c r="H59" s="84">
        <f>SUM(Pest_27[Amount])</f>
        <v>0</v>
      </c>
      <c r="I59" s="84">
        <f>SUM(Garbage_27[Amount])</f>
        <v>0</v>
      </c>
      <c r="J59" s="84">
        <f>SUM(Boarding_27[Amount])</f>
        <v>0</v>
      </c>
      <c r="K59" s="84">
        <f>SUM(Fence_27[Amount])</f>
        <v>0</v>
      </c>
      <c r="L59" s="84">
        <f>SUM(Demolition_27[Amount])</f>
        <v>24510</v>
      </c>
      <c r="M59" s="84">
        <f>SUM(Rehab_27[Amount])</f>
        <v>0</v>
      </c>
      <c r="N59" s="123">
        <f>SUM(Summary_Sheet[[#This Row],[Cutting grass/ neglected weeds]:[Rehabilitation]])</f>
        <v>24510</v>
      </c>
    </row>
    <row r="60" spans="1:14" x14ac:dyDescent="0.3">
      <c r="A60" s="95">
        <v>28</v>
      </c>
      <c r="B60" s="139" t="s">
        <v>109</v>
      </c>
      <c r="C60" s="127"/>
      <c r="D60" s="80" t="s">
        <v>76</v>
      </c>
      <c r="E60" s="81" t="s">
        <v>81</v>
      </c>
      <c r="F60" s="121">
        <f>SUM(Grass_28[Amount])</f>
        <v>0</v>
      </c>
      <c r="G60" s="122">
        <f>SUM(Tree_28[Amount])</f>
        <v>0</v>
      </c>
      <c r="H60" s="122">
        <f>SUM(Pest_28[Amount])</f>
        <v>0</v>
      </c>
      <c r="I60" s="122">
        <f>SUM(Garbage_28[Amount])</f>
        <v>0</v>
      </c>
      <c r="J60" s="122">
        <f>SUM(Boarding_28[Amount])</f>
        <v>0</v>
      </c>
      <c r="K60" s="122">
        <f>SUM(Fence_28[Amount])</f>
        <v>0</v>
      </c>
      <c r="L60" s="122">
        <f>SUM(Demolition_28[Amount])</f>
        <v>31810</v>
      </c>
      <c r="M60" s="122">
        <f>SUM(Rehab_28[Amount])</f>
        <v>0</v>
      </c>
      <c r="N60" s="124">
        <f>SUM(Summary_Sheet[[#This Row],[Cutting grass/ neglected weeds]:[Rehabilitation]])</f>
        <v>31810</v>
      </c>
    </row>
    <row r="61" spans="1:14" x14ac:dyDescent="0.3">
      <c r="A61" s="128">
        <v>29</v>
      </c>
      <c r="B61" s="139" t="s">
        <v>110</v>
      </c>
      <c r="C61" s="126"/>
      <c r="D61" s="78" t="s">
        <v>75</v>
      </c>
      <c r="E61" s="79" t="s">
        <v>81</v>
      </c>
      <c r="F61" s="83">
        <f>SUM(Grass_29[Amount])</f>
        <v>0</v>
      </c>
      <c r="G61" s="84">
        <f>SUM(Tree_29[Amount])</f>
        <v>0</v>
      </c>
      <c r="H61" s="84">
        <f>SUM(Pest_29[Amount])</f>
        <v>0</v>
      </c>
      <c r="I61" s="84">
        <f>SUM(Garbage_29[Amount])</f>
        <v>0</v>
      </c>
      <c r="J61" s="84">
        <f>SUM(Boarding_29[Amount])</f>
        <v>0</v>
      </c>
      <c r="K61" s="84">
        <f>SUM(Fence_29[Amount])</f>
        <v>0</v>
      </c>
      <c r="L61" s="84">
        <f>SUM(Demolition_29[Amount])</f>
        <v>24210</v>
      </c>
      <c r="M61" s="84">
        <f>SUM(Rehab_29[Amount])</f>
        <v>0</v>
      </c>
      <c r="N61" s="123">
        <f>SUM(Summary_Sheet[[#This Row],[Cutting grass/ neglected weeds]:[Rehabilitation]])</f>
        <v>24210</v>
      </c>
    </row>
    <row r="62" spans="1:14" x14ac:dyDescent="0.3">
      <c r="A62" s="95">
        <v>30</v>
      </c>
      <c r="B62" s="139" t="s">
        <v>111</v>
      </c>
      <c r="C62" s="127"/>
      <c r="D62" s="80" t="s">
        <v>76</v>
      </c>
      <c r="E62" s="81" t="s">
        <v>90</v>
      </c>
      <c r="F62" s="121">
        <f>SUM(Grass_30[Amount])</f>
        <v>0</v>
      </c>
      <c r="G62" s="122">
        <f>SUM(Tree_30[Amount])</f>
        <v>0</v>
      </c>
      <c r="H62" s="122">
        <f>SUM(Pest_30[Amount])</f>
        <v>0</v>
      </c>
      <c r="I62" s="122">
        <f>SUM(Garbage_30[Amount])</f>
        <v>0</v>
      </c>
      <c r="J62" s="122">
        <f>SUM(Boarding_30[Amount])</f>
        <v>0</v>
      </c>
      <c r="K62" s="122">
        <f>SUM(Fence_30[Amount])</f>
        <v>0</v>
      </c>
      <c r="L62" s="122">
        <f>SUM(Demolition_30[Amount])</f>
        <v>20210</v>
      </c>
      <c r="M62" s="122">
        <f>SUM(Rehab_30[Amount])</f>
        <v>0</v>
      </c>
      <c r="N62" s="124">
        <f>SUM(Summary_Sheet[[#This Row],[Cutting grass/ neglected weeds]:[Rehabilitation]])</f>
        <v>20210</v>
      </c>
    </row>
    <row r="63" spans="1:14" x14ac:dyDescent="0.3">
      <c r="A63" s="128">
        <v>31</v>
      </c>
      <c r="B63" s="139" t="s">
        <v>112</v>
      </c>
      <c r="C63" s="126"/>
      <c r="D63" s="78" t="s">
        <v>76</v>
      </c>
      <c r="E63" s="79" t="s">
        <v>90</v>
      </c>
      <c r="F63" s="83">
        <f>SUM(Grass_31[Amount])</f>
        <v>0</v>
      </c>
      <c r="G63" s="84">
        <f>SUM(Tree_31[Amount])</f>
        <v>0</v>
      </c>
      <c r="H63" s="84">
        <f>SUM(Pest_31[Amount])</f>
        <v>0</v>
      </c>
      <c r="I63" s="84">
        <f>SUM(Garbage_31[Amount])</f>
        <v>0</v>
      </c>
      <c r="J63" s="84">
        <f>SUM(Boarding_31[Amount])</f>
        <v>0</v>
      </c>
      <c r="K63" s="84">
        <f>SUM(Fence_31[Amount])</f>
        <v>0</v>
      </c>
      <c r="L63" s="84">
        <f>SUM(Demolition_31[Amount])</f>
        <v>19210</v>
      </c>
      <c r="M63" s="84">
        <f>SUM(Rehab_31[Amount])</f>
        <v>0</v>
      </c>
      <c r="N63" s="123">
        <f>SUM(Summary_Sheet[[#This Row],[Cutting grass/ neglected weeds]:[Rehabilitation]])</f>
        <v>19210</v>
      </c>
    </row>
    <row r="64" spans="1:14" x14ac:dyDescent="0.3">
      <c r="A64" s="95">
        <v>32</v>
      </c>
      <c r="B64" s="139" t="s">
        <v>113</v>
      </c>
      <c r="C64" s="127"/>
      <c r="D64" s="80" t="s">
        <v>78</v>
      </c>
      <c r="E64" s="81" t="s">
        <v>124</v>
      </c>
      <c r="F64" s="121">
        <f>SUM(Grass_32[Amount])</f>
        <v>0</v>
      </c>
      <c r="G64" s="122">
        <f>SUM(Tree_32[Amount])</f>
        <v>0</v>
      </c>
      <c r="H64" s="122">
        <f>SUM(Pest_32[Amount])</f>
        <v>0</v>
      </c>
      <c r="I64" s="122">
        <f>SUM(Garbage_32[Amount])</f>
        <v>0</v>
      </c>
      <c r="J64" s="122">
        <f>SUM(Boarding_32[Amount])</f>
        <v>0</v>
      </c>
      <c r="K64" s="122">
        <f>SUM(Fence_32[Amount])</f>
        <v>0</v>
      </c>
      <c r="L64" s="122">
        <f>SUM(Demolition_32[Amount])</f>
        <v>20310</v>
      </c>
      <c r="M64" s="122">
        <f>SUM(Rehab_32[Amount])</f>
        <v>0</v>
      </c>
      <c r="N64" s="124">
        <f>SUM(Summary_Sheet[[#This Row],[Cutting grass/ neglected weeds]:[Rehabilitation]])</f>
        <v>20310</v>
      </c>
    </row>
    <row r="65" spans="1:14" x14ac:dyDescent="0.3">
      <c r="A65" s="128">
        <v>33</v>
      </c>
      <c r="B65" s="139" t="s">
        <v>114</v>
      </c>
      <c r="C65" s="126"/>
      <c r="D65" s="78" t="s">
        <v>75</v>
      </c>
      <c r="E65" s="79" t="s">
        <v>81</v>
      </c>
      <c r="F65" s="83">
        <f>SUM(Grass_33[Amount])</f>
        <v>0</v>
      </c>
      <c r="G65" s="84">
        <f>SUM(Tree_33[Amount])</f>
        <v>0</v>
      </c>
      <c r="H65" s="84">
        <f>SUM(Pest_33[Amount])</f>
        <v>0</v>
      </c>
      <c r="I65" s="84">
        <f>SUM(Garbage_33[Amount])</f>
        <v>0</v>
      </c>
      <c r="J65" s="84">
        <f>SUM(Boarding_33[Amount])</f>
        <v>0</v>
      </c>
      <c r="K65" s="84">
        <f>SUM(Fence_33[Amount])</f>
        <v>0</v>
      </c>
      <c r="L65" s="84">
        <f>SUM(Demolition_33[Amount])</f>
        <v>19810</v>
      </c>
      <c r="M65" s="84">
        <f>SUM(Rehab_33[Amount])</f>
        <v>0</v>
      </c>
      <c r="N65" s="123">
        <f>SUM(Summary_Sheet[[#This Row],[Cutting grass/ neglected weeds]:[Rehabilitation]])</f>
        <v>19810</v>
      </c>
    </row>
    <row r="66" spans="1:14" x14ac:dyDescent="0.3">
      <c r="A66" s="95">
        <v>34</v>
      </c>
      <c r="B66" s="139" t="s">
        <v>115</v>
      </c>
      <c r="C66" s="127"/>
      <c r="D66" s="80" t="s">
        <v>77</v>
      </c>
      <c r="E66" s="81" t="s">
        <v>90</v>
      </c>
      <c r="F66" s="121">
        <f>SUM(Grass_34[Amount])</f>
        <v>0</v>
      </c>
      <c r="G66" s="122">
        <f>SUM(Tree_34[Amount])</f>
        <v>0</v>
      </c>
      <c r="H66" s="122">
        <f>SUM(Pest_34[Amount])</f>
        <v>0</v>
      </c>
      <c r="I66" s="122">
        <f>SUM(Garbage_34[Amount])</f>
        <v>0</v>
      </c>
      <c r="J66" s="122">
        <f>SUM(Boarding_34[Amount])</f>
        <v>0</v>
      </c>
      <c r="K66" s="122">
        <f>SUM(Fence_34[Amount])</f>
        <v>0</v>
      </c>
      <c r="L66" s="122">
        <f>SUM(Demolition_34[Amount])</f>
        <v>21510</v>
      </c>
      <c r="M66" s="122">
        <f>SUM(Rehab_34[Amount])</f>
        <v>0</v>
      </c>
      <c r="N66" s="124">
        <f>SUM(Summary_Sheet[[#This Row],[Cutting grass/ neglected weeds]:[Rehabilitation]])</f>
        <v>21510</v>
      </c>
    </row>
    <row r="67" spans="1:14" x14ac:dyDescent="0.3">
      <c r="A67" s="128">
        <v>35</v>
      </c>
      <c r="B67" s="139" t="s">
        <v>116</v>
      </c>
      <c r="C67" s="126"/>
      <c r="D67" s="78" t="s">
        <v>78</v>
      </c>
      <c r="E67" s="79" t="s">
        <v>90</v>
      </c>
      <c r="F67" s="83">
        <f>SUM(Grass_35[Amount])</f>
        <v>0</v>
      </c>
      <c r="G67" s="84">
        <f>SUM(Tree_35[Amount])</f>
        <v>0</v>
      </c>
      <c r="H67" s="84">
        <f>SUM(Pest_35[Amount])</f>
        <v>0</v>
      </c>
      <c r="I67" s="84">
        <f>SUM(Garbage_35[Amount])</f>
        <v>0</v>
      </c>
      <c r="J67" s="84">
        <f>SUM(Boarding_35[Amount])</f>
        <v>0</v>
      </c>
      <c r="K67" s="84">
        <f>SUM(Fence_35[Amount])</f>
        <v>0</v>
      </c>
      <c r="L67" s="84">
        <f>SUM(Demolition_35[Amount])</f>
        <v>28510</v>
      </c>
      <c r="M67" s="84">
        <f>SUM(Rehab_35[Amount])</f>
        <v>0</v>
      </c>
      <c r="N67" s="123">
        <f>SUM(Summary_Sheet[[#This Row],[Cutting grass/ neglected weeds]:[Rehabilitation]])</f>
        <v>28510</v>
      </c>
    </row>
    <row r="68" spans="1:14" x14ac:dyDescent="0.3">
      <c r="A68" s="95">
        <v>36</v>
      </c>
      <c r="B68" s="139" t="s">
        <v>117</v>
      </c>
      <c r="C68" s="127"/>
      <c r="D68" s="80" t="s">
        <v>76</v>
      </c>
      <c r="E68" s="81" t="s">
        <v>79</v>
      </c>
      <c r="F68" s="121">
        <f>SUM(Grass_36[Amount])</f>
        <v>0</v>
      </c>
      <c r="G68" s="122">
        <f>SUM(Tree_36[Amount])</f>
        <v>0</v>
      </c>
      <c r="H68" s="122">
        <f>SUM(Pest_36[Amount])</f>
        <v>0</v>
      </c>
      <c r="I68" s="122">
        <f>SUM(Garbage_36[Amount])</f>
        <v>0</v>
      </c>
      <c r="J68" s="122">
        <f>SUM(Boarding_36[Amount])</f>
        <v>0</v>
      </c>
      <c r="K68" s="122">
        <f>SUM(Fence_36[Amount])</f>
        <v>0</v>
      </c>
      <c r="L68" s="122">
        <f>SUM(Demolition_36[Amount])</f>
        <v>20010</v>
      </c>
      <c r="M68" s="122">
        <f>SUM(Rehab_36[Amount])</f>
        <v>0</v>
      </c>
      <c r="N68" s="124">
        <f>SUM(Summary_Sheet[[#This Row],[Cutting grass/ neglected weeds]:[Rehabilitation]])</f>
        <v>20010</v>
      </c>
    </row>
    <row r="69" spans="1:14" x14ac:dyDescent="0.3">
      <c r="A69" s="128">
        <v>37</v>
      </c>
      <c r="B69" s="139" t="s">
        <v>119</v>
      </c>
      <c r="C69" s="126"/>
      <c r="D69" s="78" t="s">
        <v>78</v>
      </c>
      <c r="E69" s="79" t="s">
        <v>81</v>
      </c>
      <c r="F69" s="83">
        <f>SUM(Grass_37[Amount])</f>
        <v>0</v>
      </c>
      <c r="G69" s="84">
        <f>SUM(Tree_37[Amount])</f>
        <v>0</v>
      </c>
      <c r="H69" s="84">
        <f>SUM(Pest_37[Amount])</f>
        <v>0</v>
      </c>
      <c r="I69" s="84">
        <f>SUM(Garbage_37[Amount])</f>
        <v>0</v>
      </c>
      <c r="J69" s="84">
        <f>SUM(Boarding_37[Amount])</f>
        <v>0</v>
      </c>
      <c r="K69" s="84">
        <f>SUM(Fence_37[Amount])</f>
        <v>0</v>
      </c>
      <c r="L69" s="84">
        <f>SUM(Demolition_37[Amount])</f>
        <v>20010</v>
      </c>
      <c r="M69" s="84">
        <f>SUM(Rehab_37[Amount])</f>
        <v>0</v>
      </c>
      <c r="N69" s="123">
        <f>SUM(Summary_Sheet[[#This Row],[Cutting grass/ neglected weeds]:[Rehabilitation]])</f>
        <v>20010</v>
      </c>
    </row>
    <row r="70" spans="1:14" x14ac:dyDescent="0.3">
      <c r="A70" s="95">
        <v>38</v>
      </c>
      <c r="B70" s="139" t="s">
        <v>120</v>
      </c>
      <c r="C70" s="127"/>
      <c r="D70" s="80" t="s">
        <v>78</v>
      </c>
      <c r="E70" s="81" t="s">
        <v>81</v>
      </c>
      <c r="F70" s="121">
        <f>SUM(Grass_38[Amount])</f>
        <v>0</v>
      </c>
      <c r="G70" s="122">
        <f>SUM(Tree_38[Amount])</f>
        <v>0</v>
      </c>
      <c r="H70" s="122">
        <f>SUM(Pest_38[Amount])</f>
        <v>0</v>
      </c>
      <c r="I70" s="122">
        <f>SUM(Garbage_38[Amount])</f>
        <v>0</v>
      </c>
      <c r="J70" s="122">
        <f>SUM(Boarding_38[Amount])</f>
        <v>0</v>
      </c>
      <c r="K70" s="122">
        <f>SUM(Fence_38[Amount])</f>
        <v>0</v>
      </c>
      <c r="L70" s="122">
        <f>SUM(Demolition_38[Amount])</f>
        <v>26510</v>
      </c>
      <c r="M70" s="122">
        <f>SUM(Rehab_38[Amount])</f>
        <v>0</v>
      </c>
      <c r="N70" s="124">
        <f>SUM(Summary_Sheet[[#This Row],[Cutting grass/ neglected weeds]:[Rehabilitation]])</f>
        <v>26510</v>
      </c>
    </row>
    <row r="71" spans="1:14" x14ac:dyDescent="0.3">
      <c r="A71" s="128">
        <v>39</v>
      </c>
      <c r="B71" s="139" t="s">
        <v>118</v>
      </c>
      <c r="C71" s="126"/>
      <c r="D71" s="78" t="s">
        <v>76</v>
      </c>
      <c r="E71" s="79" t="s">
        <v>81</v>
      </c>
      <c r="F71" s="83">
        <f>SUM(Grass_39[Amount])</f>
        <v>0</v>
      </c>
      <c r="G71" s="84">
        <f>SUM(Tree_39[Amount])</f>
        <v>0</v>
      </c>
      <c r="H71" s="84">
        <f>SUM(Pest_39[Amount])</f>
        <v>0</v>
      </c>
      <c r="I71" s="84">
        <f>SUM(Garbage_39[Amount])</f>
        <v>0</v>
      </c>
      <c r="J71" s="84">
        <f>SUM(Boarding_39[Amount])</f>
        <v>0</v>
      </c>
      <c r="K71" s="84">
        <f>SUM(Fence_39[Amount])</f>
        <v>0</v>
      </c>
      <c r="L71" s="84">
        <f>SUM(Demolition_39[Amount])</f>
        <v>21210</v>
      </c>
      <c r="M71" s="84">
        <f>SUM(Rehab_39[Amount])</f>
        <v>0</v>
      </c>
      <c r="N71" s="123">
        <f>SUM(Summary_Sheet[[#This Row],[Cutting grass/ neglected weeds]:[Rehabilitation]])</f>
        <v>21210</v>
      </c>
    </row>
    <row r="72" spans="1:14" x14ac:dyDescent="0.3">
      <c r="A72" s="95">
        <v>40</v>
      </c>
      <c r="B72" s="139" t="s">
        <v>125</v>
      </c>
      <c r="C72" s="127"/>
      <c r="D72" s="80" t="s">
        <v>76</v>
      </c>
      <c r="E72" s="81" t="s">
        <v>81</v>
      </c>
      <c r="F72" s="121">
        <f>SUM(Grass_40[Amount])</f>
        <v>0</v>
      </c>
      <c r="G72" s="122">
        <f>SUM(Tree_40[Amount])</f>
        <v>0</v>
      </c>
      <c r="H72" s="122">
        <f>SUM(Pest_40[Amount])</f>
        <v>0</v>
      </c>
      <c r="I72" s="122">
        <f>SUM(Garbage_40[Amount])</f>
        <v>0</v>
      </c>
      <c r="J72" s="122">
        <f>SUM(Boarding_40[Amount])</f>
        <v>0</v>
      </c>
      <c r="K72" s="122">
        <f>SUM(Fence_40[Amount])</f>
        <v>0</v>
      </c>
      <c r="L72" s="122">
        <f>SUM(Demolition_40[Amount])</f>
        <v>26210</v>
      </c>
      <c r="M72" s="122">
        <f>SUM(Rehab_40[Amount])</f>
        <v>0</v>
      </c>
      <c r="N72" s="124">
        <f>SUM(Summary_Sheet[[#This Row],[Cutting grass/ neglected weeds]:[Rehabilitation]])</f>
        <v>26210</v>
      </c>
    </row>
    <row r="73" spans="1:14" x14ac:dyDescent="0.3">
      <c r="A73" s="128">
        <v>41</v>
      </c>
      <c r="B73" s="139" t="s">
        <v>126</v>
      </c>
      <c r="C73" s="125"/>
      <c r="D73" s="78" t="s">
        <v>75</v>
      </c>
      <c r="E73" s="79" t="s">
        <v>81</v>
      </c>
      <c r="F73" s="83">
        <f>SUM(Grass_41[Amount])</f>
        <v>0</v>
      </c>
      <c r="G73" s="84">
        <f>SUM(Tree_41[Amount])</f>
        <v>0</v>
      </c>
      <c r="H73" s="84">
        <f>SUM(Pest_41[Amount])</f>
        <v>0</v>
      </c>
      <c r="I73" s="84">
        <f>SUM(Garbage_41[Amount])</f>
        <v>0</v>
      </c>
      <c r="J73" s="84">
        <f>SUM(Boarding_41[Amount])</f>
        <v>0</v>
      </c>
      <c r="K73" s="84">
        <f>SUM(Fence_41[Amount])</f>
        <v>0</v>
      </c>
      <c r="L73" s="84">
        <f>SUM(Demolition_41[Amount])</f>
        <v>26210</v>
      </c>
      <c r="M73" s="84">
        <f>SUM(Rehab_41[Amount])</f>
        <v>0</v>
      </c>
      <c r="N73" s="123">
        <f>SUM(Summary_Sheet[[#This Row],[Cutting grass/ neglected weeds]:[Rehabilitation]])</f>
        <v>26210</v>
      </c>
    </row>
    <row r="74" spans="1:14" x14ac:dyDescent="0.3">
      <c r="A74" s="95">
        <v>42</v>
      </c>
      <c r="B74" s="139" t="s">
        <v>147</v>
      </c>
      <c r="C74" s="127"/>
      <c r="D74" s="80" t="s">
        <v>78</v>
      </c>
      <c r="E74" s="81" t="s">
        <v>81</v>
      </c>
      <c r="F74" s="121">
        <f>SUM(Grass_42[Amount])</f>
        <v>0</v>
      </c>
      <c r="G74" s="122">
        <f>SUM(Tree_42[Amount])</f>
        <v>0</v>
      </c>
      <c r="H74" s="122">
        <f>SUM(Pest_42[Amount])</f>
        <v>0</v>
      </c>
      <c r="I74" s="122">
        <f>SUM(Garbage_42[Amount])</f>
        <v>0</v>
      </c>
      <c r="J74" s="122">
        <f>SUM(Boarding_42[Amount])</f>
        <v>0</v>
      </c>
      <c r="K74" s="122">
        <f>SUM(Fence_42[Amount])</f>
        <v>0</v>
      </c>
      <c r="L74" s="122">
        <f>SUM(Demolition_42[Amount])</f>
        <v>24510</v>
      </c>
      <c r="M74" s="122">
        <f>SUM(Rehab_42[Amount])</f>
        <v>0</v>
      </c>
      <c r="N74" s="124">
        <f>SUM(Summary_Sheet[[#This Row],[Cutting grass/ neglected weeds]:[Rehabilitation]])</f>
        <v>24510</v>
      </c>
    </row>
    <row r="75" spans="1:14" x14ac:dyDescent="0.3">
      <c r="A75" s="128">
        <v>43</v>
      </c>
      <c r="B75" s="139" t="s">
        <v>194</v>
      </c>
      <c r="C75" s="125"/>
      <c r="D75" s="78" t="s">
        <v>77</v>
      </c>
      <c r="E75" s="79" t="s">
        <v>81</v>
      </c>
      <c r="F75" s="83">
        <f>SUM(Grass_43[Amount])</f>
        <v>0</v>
      </c>
      <c r="G75" s="84">
        <f>SUM(Tree_43[Amount])</f>
        <v>0</v>
      </c>
      <c r="H75" s="84">
        <f>SUM(Pest_43[Amount])</f>
        <v>0</v>
      </c>
      <c r="I75" s="84">
        <f>SUM(Garbage_43[Amount])</f>
        <v>0</v>
      </c>
      <c r="J75" s="84">
        <f>SUM(Boarding_43[Amount])</f>
        <v>0</v>
      </c>
      <c r="K75" s="84">
        <f>SUM(Fence_43[Amount])</f>
        <v>0</v>
      </c>
      <c r="L75" s="84">
        <f>SUM(Demolition_43[Amount])</f>
        <v>26510</v>
      </c>
      <c r="M75" s="84">
        <f>SUM(Rehab_43[Amount])</f>
        <v>0</v>
      </c>
      <c r="N75" s="123">
        <f>SUM(Summary_Sheet[[#This Row],[Cutting grass/ neglected weeds]:[Rehabilitation]])</f>
        <v>26510</v>
      </c>
    </row>
    <row r="76" spans="1:14" x14ac:dyDescent="0.3">
      <c r="A76" s="95">
        <v>44</v>
      </c>
      <c r="B76" s="139" t="s">
        <v>127</v>
      </c>
      <c r="C76" s="127"/>
      <c r="D76" s="80" t="s">
        <v>76</v>
      </c>
      <c r="E76" s="81" t="s">
        <v>148</v>
      </c>
      <c r="F76" s="121">
        <f>SUM(Grass_44[Amount])</f>
        <v>0</v>
      </c>
      <c r="G76" s="122">
        <f>SUM(Tree_44[Amount])</f>
        <v>0</v>
      </c>
      <c r="H76" s="122">
        <f>SUM(Pest_44[Amount])</f>
        <v>0</v>
      </c>
      <c r="I76" s="122">
        <f>SUM(Garbage_44[Amount])</f>
        <v>0</v>
      </c>
      <c r="J76" s="122">
        <f>SUM(Boarding_44[Amount])</f>
        <v>0</v>
      </c>
      <c r="K76" s="122">
        <f>SUM(Fence_44[Amount])</f>
        <v>0</v>
      </c>
      <c r="L76" s="122">
        <f>SUM(Demolition_44[Amount])</f>
        <v>70510</v>
      </c>
      <c r="M76" s="122">
        <f>SUM(Rehab_44[Amount])</f>
        <v>0</v>
      </c>
      <c r="N76" s="124">
        <f>SUM(Summary_Sheet[[#This Row],[Cutting grass/ neglected weeds]:[Rehabilitation]])</f>
        <v>70510</v>
      </c>
    </row>
    <row r="77" spans="1:14" x14ac:dyDescent="0.3">
      <c r="A77" s="128">
        <v>45</v>
      </c>
      <c r="B77" s="139" t="s">
        <v>128</v>
      </c>
      <c r="C77" s="125"/>
      <c r="D77" s="78" t="s">
        <v>77</v>
      </c>
      <c r="E77" s="79" t="s">
        <v>81</v>
      </c>
      <c r="F77" s="83">
        <f>SUM(Grass_45[Amount])</f>
        <v>0</v>
      </c>
      <c r="G77" s="84">
        <f>SUM(Tree_45[Amount])</f>
        <v>0</v>
      </c>
      <c r="H77" s="84">
        <f>SUM(Pest_45[Amount])</f>
        <v>0</v>
      </c>
      <c r="I77" s="84">
        <f>SUM(Garbage_45[Amount])</f>
        <v>0</v>
      </c>
      <c r="J77" s="84">
        <f>SUM(Boarding_45[Amount])</f>
        <v>0</v>
      </c>
      <c r="K77" s="84">
        <f>SUM(Fence_45[Amount])</f>
        <v>0</v>
      </c>
      <c r="L77" s="84">
        <f>SUM(Demolition_45[Amount])</f>
        <v>25850</v>
      </c>
      <c r="M77" s="84">
        <f>SUM(Rehab_45[Amount])</f>
        <v>0</v>
      </c>
      <c r="N77" s="123">
        <f>SUM(Summary_Sheet[[#This Row],[Cutting grass/ neglected weeds]:[Rehabilitation]])</f>
        <v>25850</v>
      </c>
    </row>
    <row r="78" spans="1:14" x14ac:dyDescent="0.3">
      <c r="A78" s="95">
        <v>46</v>
      </c>
      <c r="B78" s="139" t="s">
        <v>129</v>
      </c>
      <c r="C78" s="127"/>
      <c r="D78" s="80" t="s">
        <v>77</v>
      </c>
      <c r="E78" s="81" t="s">
        <v>81</v>
      </c>
      <c r="F78" s="121">
        <f>SUM(Grass_46[Amount])</f>
        <v>0</v>
      </c>
      <c r="G78" s="122">
        <f>SUM(Tree_46[Amount])</f>
        <v>0</v>
      </c>
      <c r="H78" s="122">
        <f>SUM(Pest_46[Amount])</f>
        <v>0</v>
      </c>
      <c r="I78" s="122">
        <f>SUM(Garbage_46[Amount])</f>
        <v>0</v>
      </c>
      <c r="J78" s="122">
        <f>SUM(Boarding_46[Amount])</f>
        <v>0</v>
      </c>
      <c r="K78" s="122">
        <f>SUM(Fence_46[Amount])</f>
        <v>0</v>
      </c>
      <c r="L78" s="122">
        <f>SUM(Demolition_46[Amount])</f>
        <v>20210</v>
      </c>
      <c r="M78" s="122">
        <f>SUM(Rehab_46[Amount])</f>
        <v>0</v>
      </c>
      <c r="N78" s="124">
        <f>SUM(Summary_Sheet[[#This Row],[Cutting grass/ neglected weeds]:[Rehabilitation]])</f>
        <v>20210</v>
      </c>
    </row>
    <row r="79" spans="1:14" x14ac:dyDescent="0.3">
      <c r="A79" s="128">
        <v>47</v>
      </c>
      <c r="B79" s="139" t="s">
        <v>130</v>
      </c>
      <c r="C79" s="125"/>
      <c r="D79" s="78" t="s">
        <v>76</v>
      </c>
      <c r="E79" s="79" t="s">
        <v>81</v>
      </c>
      <c r="F79" s="83">
        <f>SUM(Grass_47[Amount])</f>
        <v>0</v>
      </c>
      <c r="G79" s="84">
        <f>SUM(Tree_47[Amount])</f>
        <v>0</v>
      </c>
      <c r="H79" s="84">
        <f>SUM(Pest_47[Amount])</f>
        <v>0</v>
      </c>
      <c r="I79" s="84">
        <f>SUM(Garbage_47[Amount])</f>
        <v>0</v>
      </c>
      <c r="J79" s="84">
        <f>SUM(Boarding_47[Amount])</f>
        <v>0</v>
      </c>
      <c r="K79" s="84">
        <f>SUM(Fence_47[Amount])</f>
        <v>0</v>
      </c>
      <c r="L79" s="84">
        <f>SUM(Demolition_47[Amount])</f>
        <v>34510</v>
      </c>
      <c r="M79" s="84">
        <f>SUM(Rehab_47[Amount])</f>
        <v>0</v>
      </c>
      <c r="N79" s="123">
        <f>SUM(Summary_Sheet[[#This Row],[Cutting grass/ neglected weeds]:[Rehabilitation]])</f>
        <v>34510</v>
      </c>
    </row>
    <row r="80" spans="1:14" x14ac:dyDescent="0.3">
      <c r="A80" s="95">
        <v>48</v>
      </c>
      <c r="B80" s="139" t="s">
        <v>131</v>
      </c>
      <c r="C80" s="127"/>
      <c r="D80" s="80" t="s">
        <v>77</v>
      </c>
      <c r="E80" s="81" t="s">
        <v>81</v>
      </c>
      <c r="F80" s="121">
        <f>SUM(Grass_48[Amount])</f>
        <v>0</v>
      </c>
      <c r="G80" s="122">
        <f>SUM(Tree_48[Amount])</f>
        <v>0</v>
      </c>
      <c r="H80" s="122">
        <f>SUM(Pest_48[Amount])</f>
        <v>0</v>
      </c>
      <c r="I80" s="122">
        <f>SUM(Garbage_48[Amount])</f>
        <v>0</v>
      </c>
      <c r="J80" s="122">
        <f>SUM(Boarding_48[Amount])</f>
        <v>0</v>
      </c>
      <c r="K80" s="122">
        <f>SUM(Fence_48[Amount])</f>
        <v>0</v>
      </c>
      <c r="L80" s="122">
        <f>SUM(Demolition_48[Amount])</f>
        <v>20210</v>
      </c>
      <c r="M80" s="122">
        <f>SUM(Rehab_48[Amount])</f>
        <v>0</v>
      </c>
      <c r="N80" s="124">
        <f>SUM(Summary_Sheet[[#This Row],[Cutting grass/ neglected weeds]:[Rehabilitation]])</f>
        <v>20210</v>
      </c>
    </row>
    <row r="81" spans="1:16" x14ac:dyDescent="0.3">
      <c r="A81" s="128">
        <v>49</v>
      </c>
      <c r="B81" s="139" t="s">
        <v>132</v>
      </c>
      <c r="C81" s="125"/>
      <c r="D81" s="78" t="s">
        <v>78</v>
      </c>
      <c r="E81" s="79" t="s">
        <v>149</v>
      </c>
      <c r="F81" s="83">
        <f>SUM(Grass_49[Amount])</f>
        <v>0</v>
      </c>
      <c r="G81" s="84">
        <f>SUM(Tree_49[Amount])</f>
        <v>0</v>
      </c>
      <c r="H81" s="84">
        <f>SUM(Pest_49[Amount])</f>
        <v>0</v>
      </c>
      <c r="I81" s="84">
        <f>SUM(Garbage_49[Amount])</f>
        <v>0</v>
      </c>
      <c r="J81" s="84">
        <f>SUM(Boarding_49[Amount])</f>
        <v>0</v>
      </c>
      <c r="K81" s="84">
        <f>SUM(Fence_49[Amount])</f>
        <v>0</v>
      </c>
      <c r="L81" s="84">
        <f>SUM(Demolition_49[Amount])</f>
        <v>50510</v>
      </c>
      <c r="M81" s="84">
        <f>SUM(Rehab_49[Amount])</f>
        <v>0</v>
      </c>
      <c r="N81" s="123">
        <f>SUM(Summary_Sheet[[#This Row],[Cutting grass/ neglected weeds]:[Rehabilitation]])</f>
        <v>50510</v>
      </c>
    </row>
    <row r="82" spans="1:16" x14ac:dyDescent="0.3">
      <c r="A82" s="95">
        <v>50</v>
      </c>
      <c r="B82" s="139" t="s">
        <v>133</v>
      </c>
      <c r="C82" s="127"/>
      <c r="D82" s="80" t="s">
        <v>76</v>
      </c>
      <c r="E82" s="81" t="s">
        <v>79</v>
      </c>
      <c r="F82" s="121">
        <f>SUM(Grass_50[Amount])</f>
        <v>0</v>
      </c>
      <c r="G82" s="122">
        <f>SUM(Tree_50[Amount])</f>
        <v>0</v>
      </c>
      <c r="H82" s="122">
        <f>SUM(Pest_50[Amount])</f>
        <v>0</v>
      </c>
      <c r="I82" s="122">
        <f>SUM(Garbage_50[Amount])</f>
        <v>0</v>
      </c>
      <c r="J82" s="122">
        <f>SUM(Boarding_50[Amount])</f>
        <v>0</v>
      </c>
      <c r="K82" s="122">
        <f>SUM(Fence_50[Amount])</f>
        <v>0</v>
      </c>
      <c r="L82" s="122">
        <f>SUM(Demolition_50[Amount])</f>
        <v>25860</v>
      </c>
      <c r="M82" s="122">
        <f>SUM(Rehab_50[Amount])</f>
        <v>0</v>
      </c>
      <c r="N82" s="124">
        <f>SUM(Summary_Sheet[[#This Row],[Cutting grass/ neglected weeds]:[Rehabilitation]])</f>
        <v>25860</v>
      </c>
    </row>
    <row r="83" spans="1:16" x14ac:dyDescent="0.3">
      <c r="A83" s="128">
        <v>51</v>
      </c>
      <c r="B83" s="139" t="s">
        <v>134</v>
      </c>
      <c r="C83" s="136"/>
      <c r="D83" s="140" t="s">
        <v>77</v>
      </c>
      <c r="E83" s="138" t="s">
        <v>90</v>
      </c>
      <c r="F83" s="83">
        <f>SUM(Grass_51[Amount])</f>
        <v>0</v>
      </c>
      <c r="G83" s="84">
        <f>SUM(Tree_51[Amount])</f>
        <v>0</v>
      </c>
      <c r="H83" s="84">
        <f>SUM(Pest_51[Amount])</f>
        <v>0</v>
      </c>
      <c r="I83" s="84">
        <f>SUM(Garbage_51[Amount])</f>
        <v>0</v>
      </c>
      <c r="J83" s="84">
        <f>SUM(Boarding_51[Amount])</f>
        <v>0</v>
      </c>
      <c r="K83" s="84">
        <f>SUM(Fence_51[Amount])</f>
        <v>0</v>
      </c>
      <c r="L83" s="84">
        <f>SUM(Demolition_51[Amount])</f>
        <v>26210</v>
      </c>
      <c r="M83" s="84">
        <f>SUM(Rehab_51[Amount])</f>
        <v>0</v>
      </c>
      <c r="N83" s="123">
        <f>SUM(Summary_Sheet[[#This Row],[Cutting grass/ neglected weeds]:[Rehabilitation]])</f>
        <v>26210</v>
      </c>
      <c r="O83" s="118"/>
      <c r="P83" s="118"/>
    </row>
    <row r="84" spans="1:16" x14ac:dyDescent="0.3">
      <c r="A84" s="95">
        <v>52</v>
      </c>
      <c r="B84" s="139" t="s">
        <v>135</v>
      </c>
      <c r="C84" s="133"/>
      <c r="D84" s="116" t="s">
        <v>77</v>
      </c>
      <c r="E84" s="117" t="s">
        <v>150</v>
      </c>
      <c r="F84" s="121">
        <f>SUM(Grass_52[Amount])</f>
        <v>0</v>
      </c>
      <c r="G84" s="122">
        <f>SUM(Tree_52[Amount])</f>
        <v>0</v>
      </c>
      <c r="H84" s="122">
        <f>SUM(Pest_52[Amount])</f>
        <v>0</v>
      </c>
      <c r="I84" s="122">
        <f>SUM(Garbage_52[Amount])</f>
        <v>0</v>
      </c>
      <c r="J84" s="122">
        <f>SUM(Boarding_52[Amount])</f>
        <v>0</v>
      </c>
      <c r="K84" s="122">
        <f>SUM(Fence_52[Amount])</f>
        <v>0</v>
      </c>
      <c r="L84" s="122">
        <f>SUM(Demolition_52[Amount])</f>
        <v>23010</v>
      </c>
      <c r="M84" s="122">
        <f>SUM(Rehab_52[Amount])</f>
        <v>0</v>
      </c>
      <c r="N84" s="124">
        <f>SUM(Summary_Sheet[[#This Row],[Cutting grass/ neglected weeds]:[Rehabilitation]])</f>
        <v>23010</v>
      </c>
      <c r="O84" s="118"/>
      <c r="P84" s="118"/>
    </row>
    <row r="85" spans="1:16" x14ac:dyDescent="0.3">
      <c r="A85" s="128">
        <v>53</v>
      </c>
      <c r="B85" s="139" t="s">
        <v>136</v>
      </c>
      <c r="C85" s="136"/>
      <c r="D85" s="140" t="s">
        <v>78</v>
      </c>
      <c r="E85" s="138" t="s">
        <v>121</v>
      </c>
      <c r="F85" s="83">
        <f>SUM(Grass_53[Amount])</f>
        <v>0</v>
      </c>
      <c r="G85" s="84">
        <f>SUM(Tree_53[Amount])</f>
        <v>0</v>
      </c>
      <c r="H85" s="84">
        <f>SUM(Pest_53[Amount])</f>
        <v>0</v>
      </c>
      <c r="I85" s="84">
        <f>SUM(Garbage_53[Amount])</f>
        <v>0</v>
      </c>
      <c r="J85" s="84">
        <f>SUM(Boarding_53[Amount])</f>
        <v>0</v>
      </c>
      <c r="K85" s="84">
        <f>SUM(Fence_53[Amount])</f>
        <v>0</v>
      </c>
      <c r="L85" s="84">
        <f>SUM(Demolition_53[Amount])</f>
        <v>25850</v>
      </c>
      <c r="M85" s="84">
        <f>SUM(Rehab_53[Amount])</f>
        <v>0</v>
      </c>
      <c r="N85" s="123">
        <f>SUM(Summary_Sheet[[#This Row],[Cutting grass/ neglected weeds]:[Rehabilitation]])</f>
        <v>25850</v>
      </c>
      <c r="O85" s="118"/>
      <c r="P85" s="118"/>
    </row>
    <row r="86" spans="1:16" x14ac:dyDescent="0.3">
      <c r="A86" s="95">
        <v>54</v>
      </c>
      <c r="B86" s="139" t="s">
        <v>137</v>
      </c>
      <c r="C86" s="133"/>
      <c r="D86" s="116" t="s">
        <v>80</v>
      </c>
      <c r="E86" s="117" t="s">
        <v>148</v>
      </c>
      <c r="F86" s="121">
        <f>SUM(Grass_54[Amount])</f>
        <v>0</v>
      </c>
      <c r="G86" s="122">
        <f>SUM(Tree_54[Amount])</f>
        <v>0</v>
      </c>
      <c r="H86" s="122">
        <f>SUM(Pest_54[Amount])</f>
        <v>0</v>
      </c>
      <c r="I86" s="122">
        <f>SUM(Garbage_54[Amount])</f>
        <v>0</v>
      </c>
      <c r="J86" s="122">
        <f>SUM(Boarding_54[Amount])</f>
        <v>0</v>
      </c>
      <c r="K86" s="122">
        <f>SUM(Fence_54[Amount])</f>
        <v>0</v>
      </c>
      <c r="L86" s="122">
        <f>SUM(Demolition_54[Amount])</f>
        <v>41510</v>
      </c>
      <c r="M86" s="122">
        <f>SUM(Rehab_54[Amount])</f>
        <v>0</v>
      </c>
      <c r="N86" s="124">
        <f>SUM(Summary_Sheet[[#This Row],[Cutting grass/ neglected weeds]:[Rehabilitation]])</f>
        <v>41510</v>
      </c>
      <c r="O86" s="118"/>
      <c r="P86" s="118"/>
    </row>
    <row r="87" spans="1:16" x14ac:dyDescent="0.3">
      <c r="A87" s="128">
        <v>55</v>
      </c>
      <c r="B87" s="139" t="s">
        <v>138</v>
      </c>
      <c r="C87" s="136"/>
      <c r="D87" s="140" t="s">
        <v>76</v>
      </c>
      <c r="E87" s="138" t="s">
        <v>148</v>
      </c>
      <c r="F87" s="83">
        <f>SUM(Grass_55[Amount])</f>
        <v>0</v>
      </c>
      <c r="G87" s="84">
        <f>SUM(Tree_55[Amount])</f>
        <v>0</v>
      </c>
      <c r="H87" s="84">
        <f>SUM(Pest_55[Amount])</f>
        <v>0</v>
      </c>
      <c r="I87" s="84">
        <f>SUM(Garbage_55[Amount])</f>
        <v>0</v>
      </c>
      <c r="J87" s="84">
        <f>SUM(Boarding_55[Amount])</f>
        <v>0</v>
      </c>
      <c r="K87" s="84">
        <f>SUM(Fence_55[Amount])</f>
        <v>0</v>
      </c>
      <c r="L87" s="84">
        <f>SUM(Demolition_55[Amount])</f>
        <v>45510</v>
      </c>
      <c r="M87" s="84">
        <f>SUM(Rehab_55[Amount])</f>
        <v>0</v>
      </c>
      <c r="N87" s="123">
        <f>SUM(Summary_Sheet[[#This Row],[Cutting grass/ neglected weeds]:[Rehabilitation]])</f>
        <v>45510</v>
      </c>
      <c r="O87" s="118"/>
      <c r="P87" s="118"/>
    </row>
    <row r="88" spans="1:16" x14ac:dyDescent="0.3">
      <c r="A88" s="95">
        <v>56</v>
      </c>
      <c r="B88" s="139" t="s">
        <v>139</v>
      </c>
      <c r="C88" s="133"/>
      <c r="D88" s="140" t="s">
        <v>76</v>
      </c>
      <c r="E88" s="117" t="s">
        <v>79</v>
      </c>
      <c r="F88" s="121">
        <f>SUM(Grass_56[Amount])</f>
        <v>0</v>
      </c>
      <c r="G88" s="122">
        <f>SUM(Tree_56[Amount])</f>
        <v>0</v>
      </c>
      <c r="H88" s="122">
        <f>SUM(Pest_56[Amount])</f>
        <v>0</v>
      </c>
      <c r="I88" s="122">
        <f>SUM(Garbage_56[Amount])</f>
        <v>0</v>
      </c>
      <c r="J88" s="122">
        <f>SUM(Boarding_56[Amount])</f>
        <v>0</v>
      </c>
      <c r="K88" s="122">
        <f>SUM(Fence_56[Amount])</f>
        <v>0</v>
      </c>
      <c r="L88" s="122">
        <f>SUM(Demolition_56[Amount])</f>
        <v>19105</v>
      </c>
      <c r="M88" s="122">
        <f>SUM(Rehab_56[Amount])</f>
        <v>0</v>
      </c>
      <c r="N88" s="124">
        <f>SUM(Summary_Sheet[[#This Row],[Cutting grass/ neglected weeds]:[Rehabilitation]])</f>
        <v>19105</v>
      </c>
      <c r="O88" s="118"/>
      <c r="P88" s="118"/>
    </row>
    <row r="89" spans="1:16" x14ac:dyDescent="0.3">
      <c r="A89" s="128">
        <v>57</v>
      </c>
      <c r="B89" s="139" t="s">
        <v>140</v>
      </c>
      <c r="C89" s="136"/>
      <c r="D89" s="140" t="s">
        <v>76</v>
      </c>
      <c r="E89" s="138" t="s">
        <v>79</v>
      </c>
      <c r="F89" s="83">
        <f>SUM(Grass_57[Amount])</f>
        <v>0</v>
      </c>
      <c r="G89" s="84">
        <f>SUM(Tree_57[Amount])</f>
        <v>0</v>
      </c>
      <c r="H89" s="84">
        <f>SUM(Pest_57[Amount])</f>
        <v>0</v>
      </c>
      <c r="I89" s="84">
        <f>SUM(Garbage_57[Amount])</f>
        <v>0</v>
      </c>
      <c r="J89" s="84">
        <f>SUM(Boarding_57[Amount])</f>
        <v>0</v>
      </c>
      <c r="K89" s="84">
        <f>SUM(Fence_57[Amount])</f>
        <v>0</v>
      </c>
      <c r="L89" s="84">
        <f>SUM(Demolition_57[Amount])</f>
        <v>19510</v>
      </c>
      <c r="M89" s="84">
        <f>SUM(Rehab_57[Amount])</f>
        <v>0</v>
      </c>
      <c r="N89" s="123">
        <f>SUM(Summary_Sheet[[#This Row],[Cutting grass/ neglected weeds]:[Rehabilitation]])</f>
        <v>19510</v>
      </c>
      <c r="O89" s="118"/>
      <c r="P89" s="118"/>
    </row>
    <row r="90" spans="1:16" x14ac:dyDescent="0.3">
      <c r="A90" s="95">
        <v>58</v>
      </c>
      <c r="B90" s="139" t="s">
        <v>141</v>
      </c>
      <c r="C90" s="133"/>
      <c r="D90" s="140" t="s">
        <v>76</v>
      </c>
      <c r="E90" s="117" t="s">
        <v>90</v>
      </c>
      <c r="F90" s="121">
        <f>SUM(Grass_58[Amount])</f>
        <v>0</v>
      </c>
      <c r="G90" s="122">
        <f>SUM(Tree_58[Amount])</f>
        <v>0</v>
      </c>
      <c r="H90" s="122">
        <f>SUM(Pest_58[Amount])</f>
        <v>0</v>
      </c>
      <c r="I90" s="122">
        <f>SUM(Garbage_58[Amount])</f>
        <v>0</v>
      </c>
      <c r="J90" s="122">
        <f>SUM(Boarding_58[Amount])</f>
        <v>0</v>
      </c>
      <c r="K90" s="122">
        <f>SUM(Fence_58[Amount])</f>
        <v>0</v>
      </c>
      <c r="L90" s="122">
        <f>SUM(Demolition_58[Amount])</f>
        <v>22410</v>
      </c>
      <c r="M90" s="122">
        <f>SUM(Rehab_58[Amount])</f>
        <v>0</v>
      </c>
      <c r="N90" s="124">
        <f>SUM(Summary_Sheet[[#This Row],[Cutting grass/ neglected weeds]:[Rehabilitation]])</f>
        <v>22410</v>
      </c>
      <c r="O90" s="118"/>
      <c r="P90" s="118"/>
    </row>
    <row r="91" spans="1:16" x14ac:dyDescent="0.3">
      <c r="A91" s="128">
        <v>59</v>
      </c>
      <c r="B91" s="141" t="s">
        <v>142</v>
      </c>
      <c r="C91" s="136"/>
      <c r="D91" s="140" t="s">
        <v>76</v>
      </c>
      <c r="E91" s="138" t="s">
        <v>79</v>
      </c>
      <c r="F91" s="83">
        <f>SUM(Grass_59[Amount])</f>
        <v>0</v>
      </c>
      <c r="G91" s="84">
        <f>SUM(Tree_59[Amount])</f>
        <v>0</v>
      </c>
      <c r="H91" s="84">
        <f>SUM(Pest_59[Amount])</f>
        <v>0</v>
      </c>
      <c r="I91" s="84">
        <f>SUM(Garbage_59[Amount])</f>
        <v>0</v>
      </c>
      <c r="J91" s="84">
        <f>SUM(Boarding_59[Amount])</f>
        <v>0</v>
      </c>
      <c r="K91" s="84">
        <f>SUM(Fence_59[Amount])</f>
        <v>0</v>
      </c>
      <c r="L91" s="84">
        <f>SUM(Demolition_59[Amount])</f>
        <v>15510</v>
      </c>
      <c r="M91" s="84">
        <f>SUM(Rehab_59[Amount])</f>
        <v>0</v>
      </c>
      <c r="N91" s="123">
        <f>SUM(Summary_Sheet[[#This Row],[Cutting grass/ neglected weeds]:[Rehabilitation]])</f>
        <v>15510</v>
      </c>
      <c r="O91" s="118"/>
      <c r="P91" s="118"/>
    </row>
    <row r="92" spans="1:16" x14ac:dyDescent="0.3">
      <c r="A92" s="95">
        <v>60</v>
      </c>
      <c r="B92" s="132" t="s">
        <v>143</v>
      </c>
      <c r="C92" s="133"/>
      <c r="D92" s="140" t="s">
        <v>76</v>
      </c>
      <c r="E92" s="117" t="s">
        <v>90</v>
      </c>
      <c r="F92" s="121">
        <f>SUM(Grass_60[Amount])</f>
        <v>0</v>
      </c>
      <c r="G92" s="122">
        <f>SUM(Tree_60[Amount])</f>
        <v>0</v>
      </c>
      <c r="H92" s="122">
        <f>SUM(Pest_60[Amount])</f>
        <v>0</v>
      </c>
      <c r="I92" s="122">
        <f>SUM(Garbage_60[Amount])</f>
        <v>0</v>
      </c>
      <c r="J92" s="122">
        <f>SUM(Boarding_60[Amount])</f>
        <v>0</v>
      </c>
      <c r="K92" s="122">
        <f>SUM(Fence_60[Amount])</f>
        <v>0</v>
      </c>
      <c r="L92" s="122">
        <f>SUM(Demolition_60[Amount])</f>
        <v>46010</v>
      </c>
      <c r="M92" s="122">
        <f>SUM(Rehab_60[Amount])</f>
        <v>0</v>
      </c>
      <c r="N92" s="124">
        <f>SUM(Summary_Sheet[[#This Row],[Cutting grass/ neglected weeds]:[Rehabilitation]])</f>
        <v>46010</v>
      </c>
      <c r="O92" s="118"/>
      <c r="P92" s="118"/>
    </row>
    <row r="93" spans="1:16" x14ac:dyDescent="0.3">
      <c r="A93" s="128">
        <v>61</v>
      </c>
      <c r="B93" s="141" t="s">
        <v>144</v>
      </c>
      <c r="C93" s="136"/>
      <c r="D93" s="140" t="s">
        <v>76</v>
      </c>
      <c r="E93" s="138" t="s">
        <v>90</v>
      </c>
      <c r="F93" s="83">
        <f>SUM(Grass_61[Amount])</f>
        <v>0</v>
      </c>
      <c r="G93" s="84">
        <f>SUM(Tree_61[Amount])</f>
        <v>0</v>
      </c>
      <c r="H93" s="84">
        <f>SUM(Pest_61[Amount])</f>
        <v>0</v>
      </c>
      <c r="I93" s="84">
        <f>SUM(Garbage_61[Amount])</f>
        <v>0</v>
      </c>
      <c r="J93" s="84">
        <f>SUM(Boarding_61[Amount])</f>
        <v>0</v>
      </c>
      <c r="K93" s="84">
        <f>SUM(Fence_61[Amount])</f>
        <v>0</v>
      </c>
      <c r="L93" s="84">
        <f>SUM(Demolition_61[Amount])</f>
        <v>35010</v>
      </c>
      <c r="M93" s="84">
        <f>SUM(Rehab_61[Amount])</f>
        <v>0</v>
      </c>
      <c r="N93" s="123">
        <f>SUM(Summary_Sheet[[#This Row],[Cutting grass/ neglected weeds]:[Rehabilitation]])</f>
        <v>35010</v>
      </c>
      <c r="O93" s="118"/>
      <c r="P93" s="118"/>
    </row>
    <row r="94" spans="1:16" x14ac:dyDescent="0.3">
      <c r="A94" s="95">
        <v>62</v>
      </c>
      <c r="B94" s="115" t="s">
        <v>145</v>
      </c>
      <c r="C94" s="134"/>
      <c r="D94" s="140" t="s">
        <v>76</v>
      </c>
      <c r="E94" s="135" t="s">
        <v>79</v>
      </c>
      <c r="F94" s="121">
        <f>SUM(Grass_62[Amount])</f>
        <v>0</v>
      </c>
      <c r="G94" s="122">
        <f>SUM(Tree_62[Amount])</f>
        <v>0</v>
      </c>
      <c r="H94" s="122">
        <f>SUM(Pest_62[Amount])</f>
        <v>0</v>
      </c>
      <c r="I94" s="122">
        <f>SUM(Garbage_62[Amount])</f>
        <v>0</v>
      </c>
      <c r="J94" s="122">
        <f>SUM(Boarding_62[Amount])</f>
        <v>0</v>
      </c>
      <c r="K94" s="122">
        <f>SUM(Fence_62[Amount])</f>
        <v>0</v>
      </c>
      <c r="L94" s="122">
        <f>SUM(Demolition_62[Amount])</f>
        <v>15510</v>
      </c>
      <c r="M94" s="122">
        <f>SUM(Rehab_62[Amount])</f>
        <v>0</v>
      </c>
      <c r="N94" s="124">
        <f>SUM(Summary_Sheet[[#This Row],[Cutting grass/ neglected weeds]:[Rehabilitation]])</f>
        <v>15510</v>
      </c>
      <c r="O94" s="118"/>
      <c r="P94" s="118"/>
    </row>
    <row r="95" spans="1:16" x14ac:dyDescent="0.3">
      <c r="A95" s="128">
        <v>63</v>
      </c>
      <c r="B95" s="141" t="s">
        <v>146</v>
      </c>
      <c r="C95" s="125"/>
      <c r="D95" s="140" t="s">
        <v>76</v>
      </c>
      <c r="E95" s="79" t="s">
        <v>79</v>
      </c>
      <c r="F95" s="83">
        <f>SUM(Grass_63[Amount])</f>
        <v>0</v>
      </c>
      <c r="G95" s="84">
        <f>SUM(Tree_63[Amount])</f>
        <v>0</v>
      </c>
      <c r="H95" s="84">
        <f>SUM(Pest_63[Amount])</f>
        <v>0</v>
      </c>
      <c r="I95" s="84">
        <f>SUM(Garbage_63[Amount])</f>
        <v>0</v>
      </c>
      <c r="J95" s="84">
        <f>SUM(Boarding_63[Amount])</f>
        <v>0</v>
      </c>
      <c r="K95" s="84">
        <f>SUM(Fence_63[Amount])</f>
        <v>0</v>
      </c>
      <c r="L95" s="84">
        <f>SUM(Demolition_63[Amount])</f>
        <v>28510</v>
      </c>
      <c r="M95" s="84">
        <f>SUM(Rehab_63[Amount])</f>
        <v>0</v>
      </c>
      <c r="N95" s="123">
        <f>SUM(Summary_Sheet[[#This Row],[Cutting grass/ neglected weeds]:[Rehabilitation]])</f>
        <v>28510</v>
      </c>
    </row>
    <row r="96" spans="1:16" x14ac:dyDescent="0.3">
      <c r="A96" s="95">
        <v>64</v>
      </c>
      <c r="B96" s="115" t="s">
        <v>151</v>
      </c>
      <c r="C96" s="127"/>
      <c r="D96" s="140" t="s">
        <v>76</v>
      </c>
      <c r="E96" s="81" t="s">
        <v>189</v>
      </c>
      <c r="F96" s="121">
        <f>SUM(Grass_64[Amount])</f>
        <v>0</v>
      </c>
      <c r="G96" s="122">
        <f>SUM(Tree_64[Amount])</f>
        <v>0</v>
      </c>
      <c r="H96" s="122">
        <f>SUM(Pest_64[Amount])</f>
        <v>0</v>
      </c>
      <c r="I96" s="122">
        <f>SUM(Garbage_64[Amount])</f>
        <v>0</v>
      </c>
      <c r="J96" s="122">
        <f>SUM(Boarding_64[Amount])</f>
        <v>0</v>
      </c>
      <c r="K96" s="122">
        <f>SUM(Fence_64[Amount])</f>
        <v>0</v>
      </c>
      <c r="L96" s="122">
        <f>SUM(Demolition_64[Amount])</f>
        <v>26200</v>
      </c>
      <c r="M96" s="122">
        <f>SUM(Rehab_64[Amount])</f>
        <v>0</v>
      </c>
      <c r="N96" s="124">
        <f>SUM(Summary_Sheet[[#This Row],[Cutting grass/ neglected weeds]:[Rehabilitation]])</f>
        <v>26200</v>
      </c>
    </row>
    <row r="97" spans="1:14" x14ac:dyDescent="0.3">
      <c r="A97" s="128">
        <v>65</v>
      </c>
      <c r="B97" s="141" t="s">
        <v>152</v>
      </c>
      <c r="C97" s="126" t="s">
        <v>198</v>
      </c>
      <c r="D97" s="140" t="s">
        <v>76</v>
      </c>
      <c r="E97" s="79" t="s">
        <v>79</v>
      </c>
      <c r="F97" s="83">
        <f>SUM(Grass_65[Amount])</f>
        <v>0</v>
      </c>
      <c r="G97" s="84">
        <f>SUM(Tree_65[Amount])</f>
        <v>0</v>
      </c>
      <c r="H97" s="84">
        <f>SUM(Pest_65[Amount])</f>
        <v>0</v>
      </c>
      <c r="I97" s="84">
        <f>SUM(Garbage_65[Amount])</f>
        <v>0</v>
      </c>
      <c r="J97" s="84">
        <f>SUM(Boarding_65[Amount])</f>
        <v>0</v>
      </c>
      <c r="K97" s="84">
        <f>SUM(Fence_65[Amount])</f>
        <v>0</v>
      </c>
      <c r="L97" s="84">
        <f>SUM(Demolition_65[Amount])</f>
        <v>15710</v>
      </c>
      <c r="M97" s="84">
        <f>SUM(Rehab_65[Amount])</f>
        <v>0</v>
      </c>
      <c r="N97" s="123">
        <f>SUM(Summary_Sheet[[#This Row],[Cutting grass/ neglected weeds]:[Rehabilitation]])</f>
        <v>15710</v>
      </c>
    </row>
    <row r="98" spans="1:14" x14ac:dyDescent="0.3">
      <c r="A98" s="95">
        <v>66</v>
      </c>
      <c r="B98" s="115" t="s">
        <v>153</v>
      </c>
      <c r="C98" s="127"/>
      <c r="D98" s="140" t="s">
        <v>76</v>
      </c>
      <c r="E98" s="81" t="s">
        <v>150</v>
      </c>
      <c r="F98" s="121">
        <f>SUM(Grass_66[Amount])</f>
        <v>0</v>
      </c>
      <c r="G98" s="122">
        <f>SUM(Tree_66[Amount])</f>
        <v>0</v>
      </c>
      <c r="H98" s="122">
        <f>SUM(Pest_66[Amount])</f>
        <v>0</v>
      </c>
      <c r="I98" s="122">
        <f>SUM(Garbage_66[Amount])</f>
        <v>0</v>
      </c>
      <c r="J98" s="122">
        <f>SUM(Boarding_66[Amount])</f>
        <v>0</v>
      </c>
      <c r="K98" s="122">
        <f>SUM(Fence_66[Amount])</f>
        <v>0</v>
      </c>
      <c r="L98" s="122">
        <f>SUM(Demolition_66[Amount])</f>
        <v>24748</v>
      </c>
      <c r="M98" s="122">
        <f>SUM(Rehab_66[Amount])</f>
        <v>0</v>
      </c>
      <c r="N98" s="124">
        <f>SUM(Summary_Sheet[[#This Row],[Cutting grass/ neglected weeds]:[Rehabilitation]])</f>
        <v>24748</v>
      </c>
    </row>
    <row r="99" spans="1:14" x14ac:dyDescent="0.3">
      <c r="A99" s="128">
        <v>67</v>
      </c>
      <c r="B99" s="141" t="s">
        <v>154</v>
      </c>
      <c r="C99" s="125"/>
      <c r="D99" s="140" t="s">
        <v>76</v>
      </c>
      <c r="E99" s="79" t="s">
        <v>190</v>
      </c>
      <c r="F99" s="83">
        <f>SUM(Grass_67[Amount])</f>
        <v>0</v>
      </c>
      <c r="G99" s="84">
        <f>SUM(Tree_67[Amount])</f>
        <v>0</v>
      </c>
      <c r="H99" s="84">
        <f>SUM(Pest_67[Amount])</f>
        <v>0</v>
      </c>
      <c r="I99" s="84">
        <f>SUM(Garbage_67[Amount])</f>
        <v>0</v>
      </c>
      <c r="J99" s="84">
        <f>SUM(Boarding_67[Amount])</f>
        <v>0</v>
      </c>
      <c r="K99" s="84">
        <f>SUM(Fence_67[Amount])</f>
        <v>0</v>
      </c>
      <c r="L99" s="84">
        <f>SUM(Demolition_67[Amount])</f>
        <v>25850</v>
      </c>
      <c r="M99" s="84">
        <f>SUM(Rehab_67[Amount])</f>
        <v>0</v>
      </c>
      <c r="N99" s="123">
        <f>SUM(Summary_Sheet[[#This Row],[Cutting grass/ neglected weeds]:[Rehabilitation]])</f>
        <v>25850</v>
      </c>
    </row>
    <row r="100" spans="1:14" x14ac:dyDescent="0.3">
      <c r="A100" s="95">
        <v>68</v>
      </c>
      <c r="B100" s="115" t="s">
        <v>155</v>
      </c>
      <c r="C100" s="127"/>
      <c r="D100" s="140" t="s">
        <v>76</v>
      </c>
      <c r="E100" s="81" t="s">
        <v>188</v>
      </c>
      <c r="F100" s="121">
        <f>SUM(Grass_68[Amount])</f>
        <v>0</v>
      </c>
      <c r="G100" s="122">
        <f>SUM(Tree_68[Amount])</f>
        <v>0</v>
      </c>
      <c r="H100" s="122">
        <f>SUM(Pest_68[Amount])</f>
        <v>0</v>
      </c>
      <c r="I100" s="122">
        <f>SUM(Garbage_68[Amount])</f>
        <v>0</v>
      </c>
      <c r="J100" s="122">
        <f>SUM(Boarding_68[Amount])</f>
        <v>0</v>
      </c>
      <c r="K100" s="122">
        <f>SUM(Fence_68[Amount])</f>
        <v>0</v>
      </c>
      <c r="L100" s="122">
        <f>SUM(Demolition_68[Amount])</f>
        <v>49510</v>
      </c>
      <c r="M100" s="122">
        <f>SUM(Rehab_68[Amount])</f>
        <v>0</v>
      </c>
      <c r="N100" s="124">
        <f>SUM(Summary_Sheet[[#This Row],[Cutting grass/ neglected weeds]:[Rehabilitation]])</f>
        <v>49510</v>
      </c>
    </row>
    <row r="101" spans="1:14" x14ac:dyDescent="0.3">
      <c r="A101" s="128">
        <v>69</v>
      </c>
      <c r="B101" s="141" t="s">
        <v>156</v>
      </c>
      <c r="C101" s="126" t="s">
        <v>197</v>
      </c>
      <c r="D101" s="140" t="s">
        <v>76</v>
      </c>
      <c r="E101" s="79" t="s">
        <v>79</v>
      </c>
      <c r="F101" s="83">
        <f>SUM(Grass_69[Amount])</f>
        <v>0</v>
      </c>
      <c r="G101" s="84">
        <f>SUM(Tree_69[Amount])</f>
        <v>0</v>
      </c>
      <c r="H101" s="84">
        <f>SUM(Pest_69[Amount])</f>
        <v>0</v>
      </c>
      <c r="I101" s="84">
        <f>SUM(Garbage_69[Amount])</f>
        <v>0</v>
      </c>
      <c r="J101" s="84">
        <f>SUM(Boarding_69[Amount])</f>
        <v>0</v>
      </c>
      <c r="K101" s="84">
        <f>SUM(Fence_69[Amount])</f>
        <v>0</v>
      </c>
      <c r="L101" s="84">
        <f>SUM(Demolition_69[Amount])</f>
        <v>15710</v>
      </c>
      <c r="M101" s="84">
        <f>SUM(Rehab_69[Amount])</f>
        <v>0</v>
      </c>
      <c r="N101" s="123">
        <f>SUM(Summary_Sheet[[#This Row],[Cutting grass/ neglected weeds]:[Rehabilitation]])</f>
        <v>15710</v>
      </c>
    </row>
    <row r="102" spans="1:14" x14ac:dyDescent="0.3">
      <c r="A102" s="95">
        <v>70</v>
      </c>
      <c r="B102" s="115" t="s">
        <v>157</v>
      </c>
      <c r="C102" s="127"/>
      <c r="D102" s="140" t="s">
        <v>76</v>
      </c>
      <c r="E102" s="81" t="s">
        <v>190</v>
      </c>
      <c r="F102" s="121">
        <f>SUM(Grass_70[Amount])</f>
        <v>0</v>
      </c>
      <c r="G102" s="122">
        <f>SUM(Tree_70[Amount])</f>
        <v>0</v>
      </c>
      <c r="H102" s="122">
        <f>SUM(Pest_70[Amount])</f>
        <v>0</v>
      </c>
      <c r="I102" s="122">
        <f>SUM(Garbage_70[Amount])</f>
        <v>0</v>
      </c>
      <c r="J102" s="122">
        <f>SUM(Boarding_70[Amount])</f>
        <v>0</v>
      </c>
      <c r="K102" s="122">
        <f>SUM(Fence_70[Amount])</f>
        <v>0</v>
      </c>
      <c r="L102" s="122">
        <f>SUM(Demolition_70[Amount])</f>
        <v>21890</v>
      </c>
      <c r="M102" s="122">
        <f>SUM(Rehab_70[Amount])</f>
        <v>0</v>
      </c>
      <c r="N102" s="124">
        <f>SUM(Summary_Sheet[[#This Row],[Cutting grass/ neglected weeds]:[Rehabilitation]])</f>
        <v>21890</v>
      </c>
    </row>
    <row r="103" spans="1:14" x14ac:dyDescent="0.3">
      <c r="A103" s="128">
        <v>71</v>
      </c>
      <c r="B103" s="141" t="s">
        <v>158</v>
      </c>
      <c r="C103" s="125"/>
      <c r="D103" s="140" t="s">
        <v>76</v>
      </c>
      <c r="E103" s="79" t="s">
        <v>191</v>
      </c>
      <c r="F103" s="83">
        <f>SUM(Grass_71[Amount])</f>
        <v>0</v>
      </c>
      <c r="G103" s="84">
        <f>SUM(Tree_71[Amount])</f>
        <v>0</v>
      </c>
      <c r="H103" s="84">
        <f>SUM(Pest_71[Amount])</f>
        <v>0</v>
      </c>
      <c r="I103" s="84">
        <f>SUM(Garbage_71[Amount])</f>
        <v>0</v>
      </c>
      <c r="J103" s="84">
        <f>SUM(Boarding_71[Amount])</f>
        <v>0</v>
      </c>
      <c r="K103" s="84">
        <f>SUM(Fence_71[Amount])</f>
        <v>0</v>
      </c>
      <c r="L103" s="84">
        <f>SUM(Demolition_71[Amount])</f>
        <v>26410</v>
      </c>
      <c r="M103" s="84">
        <f>SUM(Rehab_71[Amount])</f>
        <v>0</v>
      </c>
      <c r="N103" s="123">
        <f>SUM(Summary_Sheet[[#This Row],[Cutting grass/ neglected weeds]:[Rehabilitation]])</f>
        <v>26410</v>
      </c>
    </row>
    <row r="104" spans="1:14" x14ac:dyDescent="0.3">
      <c r="A104" s="95">
        <v>72</v>
      </c>
      <c r="B104" s="115" t="s">
        <v>159</v>
      </c>
      <c r="C104" s="127"/>
      <c r="D104" s="140" t="s">
        <v>76</v>
      </c>
      <c r="E104" s="81" t="s">
        <v>149</v>
      </c>
      <c r="F104" s="121">
        <f>SUM(Grass_72[Amount])</f>
        <v>0</v>
      </c>
      <c r="G104" s="122">
        <f>SUM(Tree_72[Amount])</f>
        <v>0</v>
      </c>
      <c r="H104" s="122">
        <f>SUM(Pest_72[Amount])</f>
        <v>0</v>
      </c>
      <c r="I104" s="122">
        <f>SUM(Garbage_72[Amount])</f>
        <v>0</v>
      </c>
      <c r="J104" s="122">
        <f>SUM(Boarding_72[Amount])</f>
        <v>0</v>
      </c>
      <c r="K104" s="122">
        <f>SUM(Fence_72[Amount])</f>
        <v>0</v>
      </c>
      <c r="L104" s="122">
        <f>SUM(Demolition_72[Amount])</f>
        <v>64510</v>
      </c>
      <c r="M104" s="122">
        <f>SUM(Rehab_72[Amount])</f>
        <v>0</v>
      </c>
      <c r="N104" s="124">
        <f>SUM(Summary_Sheet[[#This Row],[Cutting grass/ neglected weeds]:[Rehabilitation]])</f>
        <v>64510</v>
      </c>
    </row>
    <row r="105" spans="1:14" x14ac:dyDescent="0.3">
      <c r="A105" s="128">
        <v>73</v>
      </c>
      <c r="B105" s="141" t="s">
        <v>160</v>
      </c>
      <c r="C105" s="125"/>
      <c r="D105" s="140" t="s">
        <v>76</v>
      </c>
      <c r="E105" s="79" t="s">
        <v>149</v>
      </c>
      <c r="F105" s="83">
        <f>SUM(Grass_73[Amount])</f>
        <v>0</v>
      </c>
      <c r="G105" s="84">
        <f>SUM(Tree_73[Amount])</f>
        <v>0</v>
      </c>
      <c r="H105" s="84">
        <f>SUM(Pest_73[Amount])</f>
        <v>0</v>
      </c>
      <c r="I105" s="84">
        <f>SUM(Garbage_73[Amount])</f>
        <v>0</v>
      </c>
      <c r="J105" s="84">
        <f>SUM(Boarding_73[Amount])</f>
        <v>0</v>
      </c>
      <c r="K105" s="84">
        <f>SUM(Fence_73[Amount])</f>
        <v>0</v>
      </c>
      <c r="L105" s="84">
        <f>SUM(Demolition_73[Amount])</f>
        <v>26510</v>
      </c>
      <c r="M105" s="84">
        <f>SUM(Rehab_73[Amount])</f>
        <v>0</v>
      </c>
      <c r="N105" s="123">
        <f>SUM(Summary_Sheet[[#This Row],[Cutting grass/ neglected weeds]:[Rehabilitation]])</f>
        <v>26510</v>
      </c>
    </row>
    <row r="106" spans="1:14" x14ac:dyDescent="0.3">
      <c r="A106" s="95">
        <v>74</v>
      </c>
      <c r="B106" s="115" t="s">
        <v>161</v>
      </c>
      <c r="C106" s="127"/>
      <c r="D106" s="140" t="s">
        <v>76</v>
      </c>
      <c r="E106" s="81" t="s">
        <v>149</v>
      </c>
      <c r="F106" s="121">
        <f>SUM(Grass_74[Amount])</f>
        <v>0</v>
      </c>
      <c r="G106" s="122">
        <f>SUM(Tree_74[Amount])</f>
        <v>0</v>
      </c>
      <c r="H106" s="122">
        <f>SUM(Pest_74[Amount])</f>
        <v>0</v>
      </c>
      <c r="I106" s="122">
        <f>SUM(Garbage_74[Amount])</f>
        <v>0</v>
      </c>
      <c r="J106" s="122">
        <f>SUM(Boarding_74[Amount])</f>
        <v>0</v>
      </c>
      <c r="K106" s="122">
        <f>SUM(Fence_74[Amount])</f>
        <v>0</v>
      </c>
      <c r="L106" s="122">
        <f>SUM(Demolition_74[Amount])</f>
        <v>16510</v>
      </c>
      <c r="M106" s="122">
        <f>SUM(Rehab_74[Amount])</f>
        <v>0</v>
      </c>
      <c r="N106" s="124">
        <f>SUM(Summary_Sheet[[#This Row],[Cutting grass/ neglected weeds]:[Rehabilitation]])</f>
        <v>16510</v>
      </c>
    </row>
    <row r="107" spans="1:14" x14ac:dyDescent="0.3">
      <c r="A107" s="128">
        <v>75</v>
      </c>
      <c r="B107" s="141" t="s">
        <v>162</v>
      </c>
      <c r="C107" s="125"/>
      <c r="D107" s="140" t="s">
        <v>76</v>
      </c>
      <c r="E107" s="79" t="s">
        <v>149</v>
      </c>
      <c r="F107" s="83">
        <f>SUM(Grass_75[Amount])</f>
        <v>0</v>
      </c>
      <c r="G107" s="84">
        <f>SUM(Tree_75[Amount])</f>
        <v>0</v>
      </c>
      <c r="H107" s="84">
        <f>SUM(Pest_75[Amount])</f>
        <v>0</v>
      </c>
      <c r="I107" s="84">
        <f>SUM(Garbage_75[Amount])</f>
        <v>0</v>
      </c>
      <c r="J107" s="84">
        <f>SUM(Boarding_75[Amount])</f>
        <v>0</v>
      </c>
      <c r="K107" s="84">
        <f>SUM(Fence_75[Amount])</f>
        <v>0</v>
      </c>
      <c r="L107" s="84">
        <f>SUM(Demolition_75[Amount])</f>
        <v>23510</v>
      </c>
      <c r="M107" s="84">
        <f>SUM(Rehab_75[Amount])</f>
        <v>0</v>
      </c>
      <c r="N107" s="123">
        <f>SUM(Summary_Sheet[[#This Row],[Cutting grass/ neglected weeds]:[Rehabilitation]])</f>
        <v>23510</v>
      </c>
    </row>
    <row r="108" spans="1:14" x14ac:dyDescent="0.3">
      <c r="A108" s="95">
        <v>76</v>
      </c>
      <c r="B108" s="115" t="s">
        <v>163</v>
      </c>
      <c r="C108" s="127"/>
      <c r="D108" s="140" t="s">
        <v>76</v>
      </c>
      <c r="E108" s="81" t="s">
        <v>149</v>
      </c>
      <c r="F108" s="121">
        <f>SUM(Grass_76[Amount])</f>
        <v>0</v>
      </c>
      <c r="G108" s="122">
        <f>SUM(Tree_76[Amount])</f>
        <v>0</v>
      </c>
      <c r="H108" s="122">
        <f>SUM(Pest_76[Amount])</f>
        <v>0</v>
      </c>
      <c r="I108" s="122">
        <f>SUM(Garbage_76[Amount])</f>
        <v>0</v>
      </c>
      <c r="J108" s="122">
        <f>SUM(Boarding_76[Amount])</f>
        <v>0</v>
      </c>
      <c r="K108" s="122">
        <f>SUM(Fence_76[Amount])</f>
        <v>0</v>
      </c>
      <c r="L108" s="122">
        <f>SUM(Demolition_76[Amount])</f>
        <v>50510</v>
      </c>
      <c r="M108" s="122">
        <f>SUM(Rehab_76[Amount])</f>
        <v>0</v>
      </c>
      <c r="N108" s="124">
        <f>SUM(Summary_Sheet[[#This Row],[Cutting grass/ neglected weeds]:[Rehabilitation]])</f>
        <v>50510</v>
      </c>
    </row>
    <row r="109" spans="1:14" x14ac:dyDescent="0.3">
      <c r="A109" s="128">
        <v>77</v>
      </c>
      <c r="B109" s="141" t="s">
        <v>164</v>
      </c>
      <c r="C109" s="125"/>
      <c r="D109" s="140" t="s">
        <v>76</v>
      </c>
      <c r="E109" s="79" t="s">
        <v>79</v>
      </c>
      <c r="F109" s="83">
        <f>SUM(Grass_77[Amount])</f>
        <v>0</v>
      </c>
      <c r="G109" s="84">
        <f>SUM(Tree_77[Amount])</f>
        <v>0</v>
      </c>
      <c r="H109" s="84">
        <f>SUM(Pest_77[Amount])</f>
        <v>0</v>
      </c>
      <c r="I109" s="84">
        <f>SUM(Garbage_77[Amount])</f>
        <v>0</v>
      </c>
      <c r="J109" s="84">
        <f>SUM(Boarding_77[Amount])</f>
        <v>0</v>
      </c>
      <c r="K109" s="84">
        <f>SUM(Fence_77[Amount])</f>
        <v>0</v>
      </c>
      <c r="L109" s="84">
        <f>SUM(Demolition_77[Amount])</f>
        <v>19010</v>
      </c>
      <c r="M109" s="84">
        <f>SUM(Rehab_77[Amount])</f>
        <v>0</v>
      </c>
      <c r="N109" s="123">
        <f>SUM(Summary_Sheet[[#This Row],[Cutting grass/ neglected weeds]:[Rehabilitation]])</f>
        <v>19010</v>
      </c>
    </row>
    <row r="110" spans="1:14" x14ac:dyDescent="0.3">
      <c r="A110" s="95">
        <v>78</v>
      </c>
      <c r="B110" s="115" t="s">
        <v>165</v>
      </c>
      <c r="C110" s="127" t="s">
        <v>196</v>
      </c>
      <c r="D110" s="140" t="s">
        <v>76</v>
      </c>
      <c r="E110" s="81" t="s">
        <v>79</v>
      </c>
      <c r="F110" s="121">
        <f>SUM(Grass_78[Amount])</f>
        <v>0</v>
      </c>
      <c r="G110" s="122">
        <f>SUM(Tree_78[Amount])</f>
        <v>0</v>
      </c>
      <c r="H110" s="122">
        <f>SUM(Pest_78[Amount])</f>
        <v>0</v>
      </c>
      <c r="I110" s="122">
        <f>SUM(Garbage_78[Amount])</f>
        <v>0</v>
      </c>
      <c r="J110" s="122">
        <f>SUM(Boarding_78[Amount])</f>
        <v>0</v>
      </c>
      <c r="K110" s="122">
        <f>SUM(Fence_78[Amount])</f>
        <v>0</v>
      </c>
      <c r="L110" s="122">
        <f>SUM(Demolition_78[Amount])</f>
        <v>15710</v>
      </c>
      <c r="M110" s="122">
        <f>SUM(Rehab_78[Amount])</f>
        <v>0</v>
      </c>
      <c r="N110" s="124">
        <f>SUM(Summary_Sheet[[#This Row],[Cutting grass/ neglected weeds]:[Rehabilitation]])</f>
        <v>15710</v>
      </c>
    </row>
    <row r="111" spans="1:14" x14ac:dyDescent="0.3">
      <c r="A111" s="128">
        <v>79</v>
      </c>
      <c r="B111" s="141" t="s">
        <v>166</v>
      </c>
      <c r="C111" s="125"/>
      <c r="D111" s="140" t="s">
        <v>76</v>
      </c>
      <c r="E111" s="79" t="s">
        <v>149</v>
      </c>
      <c r="F111" s="83">
        <f>SUM(Grass_79[Amount])</f>
        <v>0</v>
      </c>
      <c r="G111" s="84">
        <f>SUM(Tree_79[Amount])</f>
        <v>0</v>
      </c>
      <c r="H111" s="84">
        <f>SUM(Pest_79[Amount])</f>
        <v>0</v>
      </c>
      <c r="I111" s="84">
        <f>SUM(Garbage_79[Amount])</f>
        <v>0</v>
      </c>
      <c r="J111" s="84">
        <f>SUM(Boarding_79[Amount])</f>
        <v>0</v>
      </c>
      <c r="K111" s="84">
        <f>SUM(Fence_79[Amount])</f>
        <v>0</v>
      </c>
      <c r="L111" s="84">
        <f>SUM(Demolition_79[Amount])</f>
        <v>24010</v>
      </c>
      <c r="M111" s="84">
        <f>SUM(Rehab_79[Amount])</f>
        <v>0</v>
      </c>
      <c r="N111" s="123">
        <f>SUM(Summary_Sheet[[#This Row],[Cutting grass/ neglected weeds]:[Rehabilitation]])</f>
        <v>24010</v>
      </c>
    </row>
    <row r="112" spans="1:14" x14ac:dyDescent="0.3">
      <c r="A112" s="95">
        <v>80</v>
      </c>
      <c r="B112" s="115" t="s">
        <v>167</v>
      </c>
      <c r="C112" s="127"/>
      <c r="D112" s="140" t="s">
        <v>76</v>
      </c>
      <c r="E112" s="81" t="s">
        <v>149</v>
      </c>
      <c r="F112" s="121">
        <f>SUM(Grass_80[Amount])</f>
        <v>0</v>
      </c>
      <c r="G112" s="122">
        <f>SUM(Tree_80[Amount])</f>
        <v>0</v>
      </c>
      <c r="H112" s="122">
        <f>SUM(Pest_80[Amount])</f>
        <v>0</v>
      </c>
      <c r="I112" s="122">
        <f>SUM(Garbage_80[Amount])</f>
        <v>0</v>
      </c>
      <c r="J112" s="122">
        <f>SUM(Boarding_80[Amount])</f>
        <v>0</v>
      </c>
      <c r="K112" s="122">
        <f>SUM(Fence_80[Amount])</f>
        <v>0</v>
      </c>
      <c r="L112" s="122">
        <f>SUM(Demolition_80[Amount])</f>
        <v>15010</v>
      </c>
      <c r="M112" s="122">
        <f>SUM(Rehab_80[Amount])</f>
        <v>0</v>
      </c>
      <c r="N112" s="124">
        <f>SUM(Summary_Sheet[[#This Row],[Cutting grass/ neglected weeds]:[Rehabilitation]])</f>
        <v>15010</v>
      </c>
    </row>
    <row r="113" spans="1:14" x14ac:dyDescent="0.3">
      <c r="A113" s="128">
        <v>81</v>
      </c>
      <c r="B113" s="141" t="s">
        <v>168</v>
      </c>
      <c r="C113" s="125"/>
      <c r="D113" s="140" t="s">
        <v>76</v>
      </c>
      <c r="E113" s="79" t="s">
        <v>79</v>
      </c>
      <c r="F113" s="83">
        <f>SUM(Grass_81[Amount])</f>
        <v>0</v>
      </c>
      <c r="G113" s="84">
        <f>SUM(Tree_81[Amount])</f>
        <v>0</v>
      </c>
      <c r="H113" s="84">
        <f>SUM(Pest_81[Amount])</f>
        <v>0</v>
      </c>
      <c r="I113" s="84">
        <f>SUM(Garbage_81[Amount])</f>
        <v>0</v>
      </c>
      <c r="J113" s="84">
        <f>SUM(Boarding_81[Amount])</f>
        <v>0</v>
      </c>
      <c r="K113" s="84">
        <f>SUM(Fence_81[Amount])</f>
        <v>0</v>
      </c>
      <c r="L113" s="84">
        <f>SUM(Demolition_81[Amount])</f>
        <v>15910</v>
      </c>
      <c r="M113" s="84">
        <f>SUM(Rehab_81[Amount])</f>
        <v>0</v>
      </c>
      <c r="N113" s="123">
        <f>SUM(Summary_Sheet[[#This Row],[Cutting grass/ neglected weeds]:[Rehabilitation]])</f>
        <v>15910</v>
      </c>
    </row>
    <row r="114" spans="1:14" x14ac:dyDescent="0.3">
      <c r="A114" s="95">
        <v>82</v>
      </c>
      <c r="B114" s="115" t="s">
        <v>169</v>
      </c>
      <c r="C114" s="127"/>
      <c r="D114" s="140" t="s">
        <v>76</v>
      </c>
      <c r="E114" s="81" t="s">
        <v>79</v>
      </c>
      <c r="F114" s="121">
        <f>SUM(Grass_82[Amount])</f>
        <v>0</v>
      </c>
      <c r="G114" s="122">
        <f>SUM(Tree_82[Amount])</f>
        <v>0</v>
      </c>
      <c r="H114" s="122">
        <f>SUM(Pest_82[Amount])</f>
        <v>0</v>
      </c>
      <c r="I114" s="122">
        <f>SUM(Garbage_82[Amount])</f>
        <v>0</v>
      </c>
      <c r="J114" s="122">
        <f>SUM(Boarding_82[Amount])</f>
        <v>0</v>
      </c>
      <c r="K114" s="122">
        <f>SUM(Fence_82[Amount])</f>
        <v>0</v>
      </c>
      <c r="L114" s="122">
        <f>SUM(Demolition_82[Amount])</f>
        <v>25000</v>
      </c>
      <c r="M114" s="122">
        <f>SUM(Rehab_82[Amount])</f>
        <v>0</v>
      </c>
      <c r="N114" s="124">
        <f>SUM(Summary_Sheet[[#This Row],[Cutting grass/ neglected weeds]:[Rehabilitation]])</f>
        <v>25000</v>
      </c>
    </row>
    <row r="115" spans="1:14" x14ac:dyDescent="0.3">
      <c r="A115" s="128">
        <v>83</v>
      </c>
      <c r="B115" s="141" t="s">
        <v>170</v>
      </c>
      <c r="C115" s="125"/>
      <c r="D115" s="140" t="s">
        <v>76</v>
      </c>
      <c r="E115" s="79" t="s">
        <v>79</v>
      </c>
      <c r="F115" s="83">
        <f>SUM(Grass_83[Amount])</f>
        <v>0</v>
      </c>
      <c r="G115" s="84">
        <f>SUM(Tree_83[Amount])</f>
        <v>0</v>
      </c>
      <c r="H115" s="84">
        <f>SUM(Pest_83[Amount])</f>
        <v>0</v>
      </c>
      <c r="I115" s="84">
        <f>SUM(Garbage_83[Amount])</f>
        <v>0</v>
      </c>
      <c r="J115" s="84">
        <f>SUM(Boarding_83[Amount])</f>
        <v>0</v>
      </c>
      <c r="K115" s="84">
        <f>SUM(Fence_83[Amount])</f>
        <v>0</v>
      </c>
      <c r="L115" s="84">
        <f>SUM(Demolition_83[Amount])</f>
        <v>27510</v>
      </c>
      <c r="M115" s="84">
        <f>SUM(Rehab_83[Amount])</f>
        <v>0</v>
      </c>
      <c r="N115" s="123">
        <f>SUM(Summary_Sheet[[#This Row],[Cutting grass/ neglected weeds]:[Rehabilitation]])</f>
        <v>27510</v>
      </c>
    </row>
    <row r="116" spans="1:14" x14ac:dyDescent="0.3">
      <c r="A116" s="95">
        <v>84</v>
      </c>
      <c r="B116" s="115" t="s">
        <v>171</v>
      </c>
      <c r="C116" s="127"/>
      <c r="D116" s="140" t="s">
        <v>76</v>
      </c>
      <c r="E116" s="81" t="s">
        <v>79</v>
      </c>
      <c r="F116" s="121">
        <f>SUM(Grass_84[Amount])</f>
        <v>0</v>
      </c>
      <c r="G116" s="122">
        <f>SUM(Tree_84[Amount])</f>
        <v>0</v>
      </c>
      <c r="H116" s="122">
        <f>SUM(Pest_84[Amount])</f>
        <v>0</v>
      </c>
      <c r="I116" s="122">
        <f>SUM(Garbage_84[Amount])</f>
        <v>0</v>
      </c>
      <c r="J116" s="122">
        <f>SUM(Boarding_84[Amount])</f>
        <v>0</v>
      </c>
      <c r="K116" s="122">
        <f>SUM(Fence_84[Amount])</f>
        <v>0</v>
      </c>
      <c r="L116" s="122">
        <f>SUM(Demolition_84[Amount])</f>
        <v>17210</v>
      </c>
      <c r="M116" s="122">
        <f>SUM(Rehab_84[Amount])</f>
        <v>0</v>
      </c>
      <c r="N116" s="124">
        <f>SUM(Summary_Sheet[[#This Row],[Cutting grass/ neglected weeds]:[Rehabilitation]])</f>
        <v>17210</v>
      </c>
    </row>
    <row r="117" spans="1:14" x14ac:dyDescent="0.3">
      <c r="A117" s="128">
        <v>85</v>
      </c>
      <c r="B117" s="141" t="s">
        <v>172</v>
      </c>
      <c r="C117" s="125"/>
      <c r="D117" s="140" t="s">
        <v>76</v>
      </c>
      <c r="E117" s="81" t="s">
        <v>79</v>
      </c>
      <c r="F117" s="83">
        <f>SUM(Grass_85[Amount])</f>
        <v>0</v>
      </c>
      <c r="G117" s="84">
        <f>SUM(Tree_85[Amount])</f>
        <v>0</v>
      </c>
      <c r="H117" s="84">
        <f>SUM(Pest_85[Amount])</f>
        <v>0</v>
      </c>
      <c r="I117" s="84">
        <f>SUM(Garbage_85[Amount])</f>
        <v>0</v>
      </c>
      <c r="J117" s="84">
        <f>SUM(Boarding_85[Amount])</f>
        <v>0</v>
      </c>
      <c r="K117" s="84">
        <f>SUM(Fence_85[Amount])</f>
        <v>0</v>
      </c>
      <c r="L117" s="84">
        <f>SUM(Demolition_85[Amount])</f>
        <v>15710</v>
      </c>
      <c r="M117" s="84">
        <f>SUM(Rehab_85[Amount])</f>
        <v>0</v>
      </c>
      <c r="N117" s="123">
        <f>SUM(Summary_Sheet[[#This Row],[Cutting grass/ neglected weeds]:[Rehabilitation]])</f>
        <v>15710</v>
      </c>
    </row>
    <row r="118" spans="1:14" x14ac:dyDescent="0.3">
      <c r="A118" s="95">
        <v>86</v>
      </c>
      <c r="B118" s="115" t="s">
        <v>173</v>
      </c>
      <c r="C118" s="127"/>
      <c r="D118" s="140" t="s">
        <v>76</v>
      </c>
      <c r="E118" s="81" t="s">
        <v>90</v>
      </c>
      <c r="F118" s="121">
        <f>SUM(Grass_86[Amount])</f>
        <v>0</v>
      </c>
      <c r="G118" s="122">
        <f>SUM(Tree_86[Amount])</f>
        <v>0</v>
      </c>
      <c r="H118" s="122">
        <f>SUM(Pest_86[Amount])</f>
        <v>0</v>
      </c>
      <c r="I118" s="122">
        <f>SUM(Garbage_86[Amount])</f>
        <v>0</v>
      </c>
      <c r="J118" s="122">
        <f>SUM(Boarding_86[Amount])</f>
        <v>0</v>
      </c>
      <c r="K118" s="122">
        <f>SUM(Fence_86[Amount])</f>
        <v>0</v>
      </c>
      <c r="L118" s="122">
        <f>SUM(Demolition_86[Amount])</f>
        <v>16210</v>
      </c>
      <c r="M118" s="122">
        <f>SUM(Rehab_86[Amount])</f>
        <v>0</v>
      </c>
      <c r="N118" s="124">
        <f>SUM(Summary_Sheet[[#This Row],[Cutting grass/ neglected weeds]:[Rehabilitation]])</f>
        <v>16210</v>
      </c>
    </row>
    <row r="119" spans="1:14" x14ac:dyDescent="0.3">
      <c r="A119" s="128">
        <v>87</v>
      </c>
      <c r="B119" s="141" t="s">
        <v>174</v>
      </c>
      <c r="C119" s="125"/>
      <c r="D119" s="140" t="s">
        <v>76</v>
      </c>
      <c r="E119" s="81" t="s">
        <v>79</v>
      </c>
      <c r="F119" s="83">
        <f>SUM(Grass_87[Amount])</f>
        <v>0</v>
      </c>
      <c r="G119" s="84">
        <f>SUM(Tree_87[Amount])</f>
        <v>0</v>
      </c>
      <c r="H119" s="84">
        <f>SUM(Pest_87[Amount])</f>
        <v>0</v>
      </c>
      <c r="I119" s="84">
        <f>SUM(Garbage_87[Amount])</f>
        <v>0</v>
      </c>
      <c r="J119" s="84">
        <f>SUM(Boarding_87[Amount])</f>
        <v>0</v>
      </c>
      <c r="K119" s="84">
        <f>SUM(Fence_87[Amount])</f>
        <v>0</v>
      </c>
      <c r="L119" s="84">
        <f>SUM(Demolition_87[Amount])</f>
        <v>28510</v>
      </c>
      <c r="M119" s="84">
        <f>SUM(Rehab_87[Amount])</f>
        <v>0</v>
      </c>
      <c r="N119" s="123">
        <f>SUM(Summary_Sheet[[#This Row],[Cutting grass/ neglected weeds]:[Rehabilitation]])</f>
        <v>28510</v>
      </c>
    </row>
    <row r="120" spans="1:14" x14ac:dyDescent="0.3">
      <c r="A120" s="95">
        <v>88</v>
      </c>
      <c r="B120" s="115" t="s">
        <v>175</v>
      </c>
      <c r="C120" s="127"/>
      <c r="D120" s="140" t="s">
        <v>76</v>
      </c>
      <c r="E120" s="81" t="s">
        <v>79</v>
      </c>
      <c r="F120" s="121">
        <f>SUM(Grass_88[Amount])</f>
        <v>0</v>
      </c>
      <c r="G120" s="122">
        <f>SUM(Tree_88[Amount])</f>
        <v>0</v>
      </c>
      <c r="H120" s="122">
        <f>SUM(Pest_88[Amount])</f>
        <v>0</v>
      </c>
      <c r="I120" s="122">
        <f>SUM(Garbage_88[Amount])</f>
        <v>0</v>
      </c>
      <c r="J120" s="122">
        <f>SUM(Boarding_88[Amount])</f>
        <v>0</v>
      </c>
      <c r="K120" s="122">
        <f>SUM(Fence_88[Amount])</f>
        <v>0</v>
      </c>
      <c r="L120" s="122">
        <f>SUM(Demolition_88[Amount])</f>
        <v>18210</v>
      </c>
      <c r="M120" s="122">
        <f>SUM(Rehab_88[Amount])</f>
        <v>0</v>
      </c>
      <c r="N120" s="124">
        <f>SUM(Summary_Sheet[[#This Row],[Cutting grass/ neglected weeds]:[Rehabilitation]])</f>
        <v>18210</v>
      </c>
    </row>
    <row r="121" spans="1:14" x14ac:dyDescent="0.3">
      <c r="A121" s="128">
        <v>89</v>
      </c>
      <c r="B121" s="141" t="s">
        <v>176</v>
      </c>
      <c r="C121" s="125"/>
      <c r="D121" s="140" t="s">
        <v>76</v>
      </c>
      <c r="E121" s="81" t="s">
        <v>122</v>
      </c>
      <c r="F121" s="83">
        <f>SUM(Grass_89[Amount])</f>
        <v>0</v>
      </c>
      <c r="G121" s="84">
        <f>SUM(Tree_89[Amount])</f>
        <v>0</v>
      </c>
      <c r="H121" s="84">
        <f>SUM(Pest_89[Amount])</f>
        <v>0</v>
      </c>
      <c r="I121" s="84">
        <f>SUM(Garbage_89[Amount])</f>
        <v>0</v>
      </c>
      <c r="J121" s="84">
        <f>SUM(Boarding_89[Amount])</f>
        <v>0</v>
      </c>
      <c r="K121" s="84">
        <f>SUM(Fence_89[Amount])</f>
        <v>0</v>
      </c>
      <c r="L121" s="84">
        <f>SUM(Demolition_89[Amount])</f>
        <v>14310</v>
      </c>
      <c r="M121" s="84">
        <f>SUM(Rehab_89[Amount])</f>
        <v>0</v>
      </c>
      <c r="N121" s="123">
        <f>SUM(Summary_Sheet[[#This Row],[Cutting grass/ neglected weeds]:[Rehabilitation]])</f>
        <v>14310</v>
      </c>
    </row>
    <row r="122" spans="1:14" x14ac:dyDescent="0.3">
      <c r="A122" s="95">
        <v>90</v>
      </c>
      <c r="B122" s="115" t="s">
        <v>177</v>
      </c>
      <c r="C122" s="127"/>
      <c r="D122" s="140" t="s">
        <v>76</v>
      </c>
      <c r="E122" s="81" t="s">
        <v>192</v>
      </c>
      <c r="F122" s="121">
        <f>SUM(Grass_90[Amount])</f>
        <v>0</v>
      </c>
      <c r="G122" s="122">
        <f>SUM(Tree_90[Amount])</f>
        <v>0</v>
      </c>
      <c r="H122" s="122">
        <f>SUM(Pest_90[Amount])</f>
        <v>0</v>
      </c>
      <c r="I122" s="122">
        <f>SUM(Garbage_90[Amount])</f>
        <v>0</v>
      </c>
      <c r="J122" s="122">
        <f>SUM(Boarding_90[Amount])</f>
        <v>0</v>
      </c>
      <c r="K122" s="122">
        <f>SUM(Fence_90[Amount])</f>
        <v>0</v>
      </c>
      <c r="L122" s="122">
        <f>SUM(Demolition_90[Amount])</f>
        <v>19500</v>
      </c>
      <c r="M122" s="122">
        <f>SUM(Rehab_90[Amount])</f>
        <v>0</v>
      </c>
      <c r="N122" s="124">
        <f>SUM(Summary_Sheet[[#This Row],[Cutting grass/ neglected weeds]:[Rehabilitation]])</f>
        <v>19500</v>
      </c>
    </row>
    <row r="123" spans="1:14" x14ac:dyDescent="0.3">
      <c r="A123" s="128">
        <v>91</v>
      </c>
      <c r="B123" s="141" t="s">
        <v>178</v>
      </c>
      <c r="C123" s="125"/>
      <c r="D123" s="140" t="s">
        <v>76</v>
      </c>
      <c r="E123" s="81" t="s">
        <v>122</v>
      </c>
      <c r="F123" s="83">
        <f>SUM(Grass_91[Amount])</f>
        <v>0</v>
      </c>
      <c r="G123" s="84">
        <f>SUM(Tree_91[Amount])</f>
        <v>0</v>
      </c>
      <c r="H123" s="84">
        <f>SUM(Pest_91[Amount])</f>
        <v>0</v>
      </c>
      <c r="I123" s="84">
        <f>SUM(Garbage_91[Amount])</f>
        <v>0</v>
      </c>
      <c r="J123" s="84">
        <f>SUM(Boarding_91[Amount])</f>
        <v>0</v>
      </c>
      <c r="K123" s="84">
        <f>SUM(Fence_91[Amount])</f>
        <v>0</v>
      </c>
      <c r="L123" s="84">
        <f>SUM(Demolition_91[Amount])</f>
        <v>26510</v>
      </c>
      <c r="M123" s="84">
        <f>SUM(Rehab_91[Amount])</f>
        <v>0</v>
      </c>
      <c r="N123" s="123">
        <f>SUM(Summary_Sheet[[#This Row],[Cutting grass/ neglected weeds]:[Rehabilitation]])</f>
        <v>26510</v>
      </c>
    </row>
    <row r="124" spans="1:14" x14ac:dyDescent="0.3">
      <c r="A124" s="95">
        <v>92</v>
      </c>
      <c r="B124" s="115" t="s">
        <v>179</v>
      </c>
      <c r="C124" s="127"/>
      <c r="D124" s="140" t="s">
        <v>76</v>
      </c>
      <c r="E124" s="81" t="s">
        <v>122</v>
      </c>
      <c r="F124" s="121">
        <f>SUM(Grass_92[Amount])</f>
        <v>0</v>
      </c>
      <c r="G124" s="122">
        <f>SUM(Tree_92[Amount])</f>
        <v>0</v>
      </c>
      <c r="H124" s="122">
        <f>SUM(Pest_92[Amount])</f>
        <v>0</v>
      </c>
      <c r="I124" s="122">
        <f>SUM(Garbage_92[Amount])</f>
        <v>0</v>
      </c>
      <c r="J124" s="122">
        <f>SUM(Boarding_92[Amount])</f>
        <v>0</v>
      </c>
      <c r="K124" s="122">
        <f>SUM(Fence_92[Amount])</f>
        <v>0</v>
      </c>
      <c r="L124" s="122">
        <f>SUM(Demolition_92[Amount])</f>
        <v>31510</v>
      </c>
      <c r="M124" s="122">
        <f>SUM(Rehab_92[Amount])</f>
        <v>0</v>
      </c>
      <c r="N124" s="124">
        <f>SUM(Summary_Sheet[[#This Row],[Cutting grass/ neglected weeds]:[Rehabilitation]])</f>
        <v>31510</v>
      </c>
    </row>
    <row r="125" spans="1:14" x14ac:dyDescent="0.3">
      <c r="A125" s="128">
        <v>93</v>
      </c>
      <c r="B125" s="141" t="s">
        <v>180</v>
      </c>
      <c r="C125" s="125"/>
      <c r="D125" s="140" t="s">
        <v>76</v>
      </c>
      <c r="E125" s="81" t="s">
        <v>122</v>
      </c>
      <c r="F125" s="83">
        <f>SUM(Grass_93[Amount])</f>
        <v>0</v>
      </c>
      <c r="G125" s="84">
        <f>SUM(Tree_93[Amount])</f>
        <v>0</v>
      </c>
      <c r="H125" s="84">
        <f>SUM(Pest_93[Amount])</f>
        <v>0</v>
      </c>
      <c r="I125" s="84">
        <f>SUM(Garbage_93[Amount])</f>
        <v>0</v>
      </c>
      <c r="J125" s="84">
        <f>SUM(Boarding_93[Amount])</f>
        <v>0</v>
      </c>
      <c r="K125" s="84">
        <f>SUM(Fence_93[Amount])</f>
        <v>0</v>
      </c>
      <c r="L125" s="84">
        <f>SUM(Demolition_93[Amount])</f>
        <v>21210</v>
      </c>
      <c r="M125" s="84">
        <f>SUM(Rehab_93[Amount])</f>
        <v>0</v>
      </c>
      <c r="N125" s="123">
        <f>SUM(Summary_Sheet[[#This Row],[Cutting grass/ neglected weeds]:[Rehabilitation]])</f>
        <v>21210</v>
      </c>
    </row>
    <row r="126" spans="1:14" x14ac:dyDescent="0.3">
      <c r="A126" s="95">
        <v>94</v>
      </c>
      <c r="B126" s="115" t="s">
        <v>181</v>
      </c>
      <c r="C126" s="127"/>
      <c r="D126" s="140" t="s">
        <v>76</v>
      </c>
      <c r="E126" s="81" t="s">
        <v>122</v>
      </c>
      <c r="F126" s="121">
        <f>SUM(Grass_94[Amount])</f>
        <v>0</v>
      </c>
      <c r="G126" s="122">
        <f>SUM(Tree_94[Amount])</f>
        <v>0</v>
      </c>
      <c r="H126" s="122">
        <f>SUM(Pest_94[Amount])</f>
        <v>0</v>
      </c>
      <c r="I126" s="122">
        <f>SUM(Garbage_94[Amount])</f>
        <v>0</v>
      </c>
      <c r="J126" s="122">
        <f>SUM(Boarding_94[Amount])</f>
        <v>0</v>
      </c>
      <c r="K126" s="122">
        <f>SUM(Fence_94[Amount])</f>
        <v>0</v>
      </c>
      <c r="L126" s="122">
        <f>SUM(Demolition_94[Amount])</f>
        <v>34810</v>
      </c>
      <c r="M126" s="122">
        <f>SUM(Rehab_94[Amount])</f>
        <v>0</v>
      </c>
      <c r="N126" s="124">
        <f>SUM(Summary_Sheet[[#This Row],[Cutting grass/ neglected weeds]:[Rehabilitation]])</f>
        <v>34810</v>
      </c>
    </row>
    <row r="127" spans="1:14" x14ac:dyDescent="0.3">
      <c r="A127" s="128">
        <v>95</v>
      </c>
      <c r="B127" s="141" t="s">
        <v>182</v>
      </c>
      <c r="C127" s="125"/>
      <c r="D127" s="140" t="s">
        <v>76</v>
      </c>
      <c r="E127" s="79" t="s">
        <v>122</v>
      </c>
      <c r="F127" s="83">
        <f>SUM(Grass_95[Amount])</f>
        <v>0</v>
      </c>
      <c r="G127" s="84">
        <f>SUM(Tree_95[Amount])</f>
        <v>0</v>
      </c>
      <c r="H127" s="84">
        <f>SUM(Pest_95[Amount])</f>
        <v>0</v>
      </c>
      <c r="I127" s="84">
        <f>SUM(Garbage_95[Amount])</f>
        <v>0</v>
      </c>
      <c r="J127" s="84">
        <f>SUM(Boarding_95[Amount])</f>
        <v>0</v>
      </c>
      <c r="K127" s="84">
        <f>SUM(Fence_95[Amount])</f>
        <v>0</v>
      </c>
      <c r="L127" s="84">
        <f>SUM(Demolition_95[Amount])</f>
        <v>18510</v>
      </c>
      <c r="M127" s="84">
        <f>SUM(Rehab_95[Amount])</f>
        <v>0</v>
      </c>
      <c r="N127" s="123">
        <f>SUM(Summary_Sheet[[#This Row],[Cutting grass/ neglected weeds]:[Rehabilitation]])</f>
        <v>18510</v>
      </c>
    </row>
    <row r="128" spans="1:14" x14ac:dyDescent="0.3">
      <c r="A128" s="95">
        <v>96</v>
      </c>
      <c r="B128" s="115" t="s">
        <v>183</v>
      </c>
      <c r="C128" s="127"/>
      <c r="D128" s="140" t="s">
        <v>76</v>
      </c>
      <c r="E128" s="81" t="s">
        <v>188</v>
      </c>
      <c r="F128" s="121">
        <f>SUM(Grass_96[Amount])</f>
        <v>0</v>
      </c>
      <c r="G128" s="122">
        <f>SUM(Tree_96[Amount])</f>
        <v>0</v>
      </c>
      <c r="H128" s="122">
        <f>SUM(Pest_96[Amount])</f>
        <v>0</v>
      </c>
      <c r="I128" s="122">
        <f>SUM(Garbage_96[Amount])</f>
        <v>0</v>
      </c>
      <c r="J128" s="122">
        <f>SUM(Boarding_96[Amount])</f>
        <v>0</v>
      </c>
      <c r="K128" s="122">
        <f>SUM(Fence_96[Amount])</f>
        <v>0</v>
      </c>
      <c r="L128" s="122">
        <f>SUM(Demolition_96[Amount])</f>
        <v>15410</v>
      </c>
      <c r="M128" s="122">
        <f>SUM(Rehab_96[Amount])</f>
        <v>0</v>
      </c>
      <c r="N128" s="124">
        <f>SUM(Summary_Sheet[[#This Row],[Cutting grass/ neglected weeds]:[Rehabilitation]])</f>
        <v>15410</v>
      </c>
    </row>
    <row r="129" spans="1:14" x14ac:dyDescent="0.3">
      <c r="A129" s="128">
        <v>97</v>
      </c>
      <c r="B129" s="141" t="s">
        <v>184</v>
      </c>
      <c r="C129" s="125"/>
      <c r="D129" s="140" t="s">
        <v>76</v>
      </c>
      <c r="E129" s="79" t="s">
        <v>122</v>
      </c>
      <c r="F129" s="83">
        <f>SUM(Grass_97[Amount])</f>
        <v>0</v>
      </c>
      <c r="G129" s="84">
        <f>SUM(Tree_97[Amount])</f>
        <v>0</v>
      </c>
      <c r="H129" s="84">
        <f>SUM(Pest_97[Amount])</f>
        <v>0</v>
      </c>
      <c r="I129" s="84">
        <f>SUM(Garbage_97[Amount])</f>
        <v>0</v>
      </c>
      <c r="J129" s="84">
        <f>SUM(Boarding_97[Amount])</f>
        <v>0</v>
      </c>
      <c r="K129" s="84">
        <f>SUM(Fence_97[Amount])</f>
        <v>0</v>
      </c>
      <c r="L129" s="84">
        <f>SUM(Demolition_97[Amount])</f>
        <v>23410</v>
      </c>
      <c r="M129" s="84">
        <f>SUM(Rehab_97[Amount])</f>
        <v>0</v>
      </c>
      <c r="N129" s="123">
        <f>SUM(Summary_Sheet[[#This Row],[Cutting grass/ neglected weeds]:[Rehabilitation]])</f>
        <v>23410</v>
      </c>
    </row>
    <row r="130" spans="1:14" x14ac:dyDescent="0.3">
      <c r="A130" s="95">
        <v>98</v>
      </c>
      <c r="B130" s="115" t="s">
        <v>185</v>
      </c>
      <c r="C130" s="127"/>
      <c r="D130" s="140" t="s">
        <v>76</v>
      </c>
      <c r="E130" s="81" t="s">
        <v>122</v>
      </c>
      <c r="F130" s="121">
        <f>SUM(Grass_98[Amount])</f>
        <v>0</v>
      </c>
      <c r="G130" s="122">
        <f>SUM(Tree_98[Amount])</f>
        <v>0</v>
      </c>
      <c r="H130" s="122">
        <f>SUM(Pest_98[Amount])</f>
        <v>0</v>
      </c>
      <c r="I130" s="122">
        <f>SUM(Garbage_98[Amount])</f>
        <v>0</v>
      </c>
      <c r="J130" s="122">
        <f>SUM(Boarding_98[Amount])</f>
        <v>0</v>
      </c>
      <c r="K130" s="122">
        <f>SUM(Fence_98[Amount])</f>
        <v>0</v>
      </c>
      <c r="L130" s="122">
        <f>SUM(Demolition_98[Amount])</f>
        <v>20410</v>
      </c>
      <c r="M130" s="122">
        <f>SUM(Rehab_98[Amount])</f>
        <v>0</v>
      </c>
      <c r="N130" s="124">
        <f>SUM(Summary_Sheet[[#This Row],[Cutting grass/ neglected weeds]:[Rehabilitation]])</f>
        <v>20410</v>
      </c>
    </row>
    <row r="131" spans="1:14" x14ac:dyDescent="0.3">
      <c r="A131" s="128">
        <v>99</v>
      </c>
      <c r="B131" s="141" t="s">
        <v>186</v>
      </c>
      <c r="C131" s="125"/>
      <c r="D131" s="140" t="s">
        <v>76</v>
      </c>
      <c r="E131" s="79" t="s">
        <v>122</v>
      </c>
      <c r="F131" s="83">
        <f>SUM(Grass_99[Amount])</f>
        <v>0</v>
      </c>
      <c r="G131" s="84">
        <f>SUM(Tree_99[Amount])</f>
        <v>0</v>
      </c>
      <c r="H131" s="84">
        <f>SUM(Pest_99[Amount])</f>
        <v>0</v>
      </c>
      <c r="I131" s="84">
        <f>SUM(Garbage_99[Amount])</f>
        <v>0</v>
      </c>
      <c r="J131" s="84">
        <f>SUM(Boarding_99[Amount])</f>
        <v>0</v>
      </c>
      <c r="K131" s="84">
        <f>SUM(Fence_99[Amount])</f>
        <v>0</v>
      </c>
      <c r="L131" s="84">
        <f>SUM(Demolition_99[Amount])</f>
        <v>23510</v>
      </c>
      <c r="M131" s="84">
        <f>SUM(Rehab_99[Amount])</f>
        <v>0</v>
      </c>
      <c r="N131" s="123">
        <f>SUM(Summary_Sheet[[#This Row],[Cutting grass/ neglected weeds]:[Rehabilitation]])</f>
        <v>23510</v>
      </c>
    </row>
    <row r="132" spans="1:14" x14ac:dyDescent="0.3">
      <c r="A132" s="95">
        <v>100</v>
      </c>
      <c r="B132" s="115" t="s">
        <v>187</v>
      </c>
      <c r="C132" s="127"/>
      <c r="D132" s="140" t="s">
        <v>76</v>
      </c>
      <c r="E132" s="81" t="s">
        <v>122</v>
      </c>
      <c r="F132" s="121">
        <f>SUM(Grass_100[Amount])</f>
        <v>0</v>
      </c>
      <c r="G132" s="122">
        <f>SUM(Tree_100[Amount])</f>
        <v>0</v>
      </c>
      <c r="H132" s="122">
        <f>SUM(Pest_100[Amount])</f>
        <v>0</v>
      </c>
      <c r="I132" s="122">
        <f>SUM(Garbage_100[Amount])</f>
        <v>0</v>
      </c>
      <c r="J132" s="122">
        <f>SUM(Boarding_100[Amount])</f>
        <v>0</v>
      </c>
      <c r="K132" s="122">
        <f>SUM(Fence_100[Amount])</f>
        <v>0</v>
      </c>
      <c r="L132" s="122">
        <f>SUM(Demolition_100[Amount])</f>
        <v>27010</v>
      </c>
      <c r="M132" s="122">
        <f>SUM(Rehab_100[Amount])</f>
        <v>0</v>
      </c>
      <c r="N132" s="124">
        <f>SUM(Summary_Sheet[[#This Row],[Cutting grass/ neglected weeds]:[Rehabilitation]])</f>
        <v>27010</v>
      </c>
    </row>
  </sheetData>
  <sheetProtection algorithmName="SHA-512" hashValue="0SfIYs2DshcyDfJPtEgHT8aYEU05qtMv9JnZghJmg9LtQK9j+y4PQWGCqSr/iYNm0vvN2UN5YCdLnOfLPifGsw==" saltValue="9imhsrJ//d96UsbN92axTQ==" spinCount="100000" sheet="1" objects="1" scenarios="1"/>
  <protectedRanges>
    <protectedRange sqref="B33:E132" name="Property"/>
    <protectedRange sqref="C27 E27 I27:I28" name="Quarterly"/>
    <protectedRange sqref="C20 C22 J20 J22" name="Certification"/>
    <protectedRange sqref="D11:D12 J11:J12" name="Grantee"/>
  </protectedRanges>
  <mergeCells count="20">
    <mergeCell ref="C20:G20"/>
    <mergeCell ref="C22:G22"/>
    <mergeCell ref="A2:M2"/>
    <mergeCell ref="A9:N9"/>
    <mergeCell ref="A5:N7"/>
    <mergeCell ref="J20:K20"/>
    <mergeCell ref="J22:K22"/>
    <mergeCell ref="D11:E11"/>
    <mergeCell ref="J11:K11"/>
    <mergeCell ref="J12:K12"/>
    <mergeCell ref="A16:N18"/>
    <mergeCell ref="A14:N14"/>
    <mergeCell ref="A3:M3"/>
    <mergeCell ref="D12:E12"/>
    <mergeCell ref="D31:E31"/>
    <mergeCell ref="E27:F27"/>
    <mergeCell ref="F31:M31"/>
    <mergeCell ref="A31:C31"/>
    <mergeCell ref="A25:N25"/>
    <mergeCell ref="A30:N30"/>
  </mergeCells>
  <pageMargins left="0.5" right="0.5" top="0.5" bottom="0.5" header="0" footer="0"/>
  <pageSetup paperSize="17" scale="85"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029" r:id="rId4" name="Check Box 5">
              <controlPr defaultSize="0" autoFill="0" autoLine="0" autoPict="0">
                <anchor moveWithCells="1">
                  <from>
                    <xdr:col>8</xdr:col>
                    <xdr:colOff>716280</xdr:colOff>
                    <xdr:row>25</xdr:row>
                    <xdr:rowOff>114300</xdr:rowOff>
                  </from>
                  <to>
                    <xdr:col>9</xdr:col>
                    <xdr:colOff>106680</xdr:colOff>
                    <xdr:row>27</xdr:row>
                    <xdr:rowOff>30480</xdr:rowOff>
                  </to>
                </anchor>
              </controlPr>
            </control>
          </mc:Choice>
        </mc:AlternateContent>
        <mc:AlternateContent xmlns:mc="http://schemas.openxmlformats.org/markup-compatibility/2006">
          <mc:Choice Requires="x14">
            <control shapeId="1030" r:id="rId5" name="Check Box 6">
              <controlPr defaultSize="0" autoFill="0" autoLine="0" autoPict="0">
                <anchor moveWithCells="1">
                  <from>
                    <xdr:col>8</xdr:col>
                    <xdr:colOff>716280</xdr:colOff>
                    <xdr:row>26</xdr:row>
                    <xdr:rowOff>190500</xdr:rowOff>
                  </from>
                  <to>
                    <xdr:col>9</xdr:col>
                    <xdr:colOff>106680</xdr:colOff>
                    <xdr:row>28</xdr:row>
                    <xdr:rowOff>30480</xdr:rowOff>
                  </to>
                </anchor>
              </controlPr>
            </control>
          </mc:Choice>
        </mc:AlternateContent>
      </controls>
    </mc:Choice>
  </mc:AlternateContent>
  <tableParts count="1">
    <tablePart r:id="rId6"/>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N161"/>
  <sheetViews>
    <sheetView showGridLines="0" zoomScaleNormal="100" workbookViewId="0">
      <pane ySplit="9" topLeftCell="A121" activePane="bottomLeft" state="frozen"/>
      <selection pane="bottomLeft" activeCell="B6" sqref="B6:C6"/>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5" t="s">
        <v>24</v>
      </c>
      <c r="B1" s="175"/>
      <c r="C1" s="175"/>
      <c r="D1" s="175"/>
      <c r="E1" s="1"/>
      <c r="F1" s="2"/>
      <c r="G1" s="2"/>
      <c r="H1" s="1"/>
    </row>
    <row r="2" spans="1:14" ht="24.9" customHeight="1" x14ac:dyDescent="0.3">
      <c r="A2" s="176" t="s">
        <v>71</v>
      </c>
      <c r="B2" s="176"/>
      <c r="C2" s="176"/>
      <c r="D2" s="176"/>
      <c r="E2" s="4"/>
      <c r="F2" s="90"/>
      <c r="G2" s="90"/>
      <c r="H2" s="5"/>
    </row>
    <row r="3" spans="1:14" ht="31.5" customHeight="1" x14ac:dyDescent="0.3">
      <c r="A3" s="176"/>
      <c r="B3" s="176"/>
      <c r="C3" s="176"/>
      <c r="D3" s="176"/>
      <c r="E3" s="4"/>
      <c r="F3" s="90"/>
      <c r="G3" s="90"/>
      <c r="H3" s="5"/>
    </row>
    <row r="4" spans="1:14" ht="15" customHeight="1" x14ac:dyDescent="0.25">
      <c r="A4" s="75" t="s">
        <v>19</v>
      </c>
      <c r="B4" s="194" t="str">
        <f>IF('Summary Sheet'!B41="","",'Summary Sheet'!B41)</f>
        <v>131 E 103RD PL</v>
      </c>
      <c r="C4" s="194"/>
      <c r="D4" s="90"/>
      <c r="E4" s="4"/>
      <c r="F4" s="90"/>
      <c r="G4" s="90"/>
      <c r="H4" s="5"/>
    </row>
    <row r="5" spans="1:14" ht="15" customHeight="1" x14ac:dyDescent="0.25">
      <c r="A5" s="75" t="s">
        <v>20</v>
      </c>
      <c r="B5" s="195" t="str">
        <f>IF('Summary Sheet'!C41="","",'Summary Sheet'!C41)</f>
        <v>25-15-109-015-0000</v>
      </c>
      <c r="C5" s="195"/>
      <c r="D5" s="90"/>
      <c r="E5" s="4"/>
      <c r="F5" s="90"/>
      <c r="G5" s="90"/>
      <c r="H5" s="5"/>
    </row>
    <row r="6" spans="1:14" ht="15" customHeight="1" x14ac:dyDescent="0.25">
      <c r="A6" s="75" t="s">
        <v>36</v>
      </c>
      <c r="B6" s="177">
        <v>1</v>
      </c>
      <c r="C6" s="177"/>
      <c r="D6" s="6"/>
      <c r="E6" s="7"/>
    </row>
    <row r="7" spans="1:14" ht="15" customHeight="1" x14ac:dyDescent="0.25">
      <c r="A7" s="7"/>
      <c r="B7" s="196" t="s">
        <v>34</v>
      </c>
      <c r="C7" s="196"/>
      <c r="D7" s="10"/>
    </row>
    <row r="8" spans="1:14" ht="20.100000000000001" customHeight="1" x14ac:dyDescent="0.25">
      <c r="B8" s="11"/>
      <c r="C8" s="11"/>
      <c r="D8" s="12" t="s">
        <v>31</v>
      </c>
      <c r="F8" s="180" t="s">
        <v>32</v>
      </c>
      <c r="G8" s="181"/>
      <c r="H8" s="182"/>
    </row>
    <row r="9" spans="1:14" s="14" customFormat="1" ht="20.100000000000001" customHeight="1" x14ac:dyDescent="0.25">
      <c r="A9" s="197"/>
      <c r="B9" s="197"/>
      <c r="C9" s="197"/>
      <c r="D9" s="13">
        <f>SUM(D27,D46,D65,D84,D103,D122,D141,D160)</f>
        <v>17310</v>
      </c>
      <c r="F9" s="15" t="s">
        <v>28</v>
      </c>
      <c r="G9" s="15" t="s">
        <v>29</v>
      </c>
      <c r="H9" s="15" t="s">
        <v>30</v>
      </c>
      <c r="I9" s="16"/>
      <c r="J9" s="16"/>
      <c r="K9" s="16"/>
      <c r="L9" s="16"/>
      <c r="M9" s="16"/>
      <c r="N9" s="16"/>
    </row>
    <row r="10" spans="1:14" s="17" customFormat="1" ht="23.1" customHeight="1" x14ac:dyDescent="0.3">
      <c r="A10" s="198" t="s">
        <v>51</v>
      </c>
      <c r="B10" s="198"/>
      <c r="C10" s="198"/>
      <c r="D10" s="198"/>
      <c r="F10" s="183" t="s">
        <v>66</v>
      </c>
      <c r="G10" s="184"/>
      <c r="H10" s="185"/>
      <c r="I10" s="18"/>
      <c r="J10" s="18"/>
      <c r="K10" s="18"/>
      <c r="L10" s="18"/>
      <c r="M10" s="19"/>
      <c r="N10" s="20"/>
    </row>
    <row r="11" spans="1:14" s="24" customFormat="1" ht="12.75" customHeight="1" x14ac:dyDescent="0.25">
      <c r="A11" s="21" t="s">
        <v>21</v>
      </c>
      <c r="B11" s="22" t="s">
        <v>22</v>
      </c>
      <c r="C11" s="22" t="s">
        <v>23</v>
      </c>
      <c r="D11" s="23" t="s">
        <v>25</v>
      </c>
      <c r="F11" s="186"/>
      <c r="G11" s="187"/>
      <c r="H11" s="188"/>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78" t="s">
        <v>53</v>
      </c>
      <c r="B27" s="179"/>
      <c r="C27" s="179"/>
      <c r="D27" s="96">
        <f>SUM(Grass_9[Amount])</f>
        <v>0</v>
      </c>
      <c r="F27" s="173" t="s">
        <v>33</v>
      </c>
      <c r="G27" s="174"/>
      <c r="H27" s="174"/>
      <c r="I27" s="35"/>
      <c r="J27" s="35"/>
      <c r="K27" s="35"/>
      <c r="L27" s="35"/>
      <c r="M27" s="36"/>
      <c r="N27" s="37"/>
    </row>
    <row r="28" spans="1:14" s="40" customFormat="1" ht="11.1" customHeight="1" x14ac:dyDescent="0.3">
      <c r="A28" s="38"/>
      <c r="B28" s="38"/>
      <c r="C28" s="38"/>
      <c r="D28" s="39"/>
      <c r="F28" s="173"/>
      <c r="G28" s="174"/>
      <c r="H28" s="174"/>
      <c r="I28" s="35"/>
      <c r="J28" s="35"/>
      <c r="K28" s="35"/>
      <c r="L28" s="35"/>
      <c r="M28" s="36"/>
      <c r="N28" s="37"/>
    </row>
    <row r="29" spans="1:14" s="17" customFormat="1" ht="23.1" customHeight="1" x14ac:dyDescent="0.3">
      <c r="A29" s="191" t="s">
        <v>67</v>
      </c>
      <c r="B29" s="192"/>
      <c r="C29" s="192"/>
      <c r="D29" s="193"/>
      <c r="F29" s="183" t="s">
        <v>52</v>
      </c>
      <c r="G29" s="184"/>
      <c r="H29" s="185"/>
      <c r="I29" s="18"/>
      <c r="J29" s="18"/>
      <c r="K29" s="18"/>
      <c r="L29" s="18"/>
      <c r="M29" s="19"/>
      <c r="N29" s="20"/>
    </row>
    <row r="30" spans="1:14" s="41" customFormat="1" ht="12.75" customHeight="1" x14ac:dyDescent="0.25">
      <c r="A30" s="21" t="s">
        <v>21</v>
      </c>
      <c r="B30" s="22" t="s">
        <v>22</v>
      </c>
      <c r="C30" s="22" t="s">
        <v>23</v>
      </c>
      <c r="D30" s="23" t="s">
        <v>25</v>
      </c>
      <c r="F30" s="186"/>
      <c r="G30" s="187"/>
      <c r="H30" s="188"/>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89"/>
      <c r="J44" s="29"/>
      <c r="K44" s="29"/>
      <c r="L44" s="89"/>
      <c r="M44" s="30"/>
      <c r="N44" s="16"/>
    </row>
    <row r="45" spans="1:14" x14ac:dyDescent="0.3">
      <c r="A45" s="106"/>
      <c r="B45" s="107"/>
      <c r="C45" s="107"/>
      <c r="D45" s="114"/>
      <c r="F45" s="103"/>
      <c r="G45" s="104"/>
      <c r="H45" s="109"/>
      <c r="I45" s="89"/>
      <c r="J45" s="29"/>
      <c r="K45" s="29"/>
      <c r="L45" s="89"/>
      <c r="M45" s="30"/>
      <c r="N45" s="16"/>
    </row>
    <row r="46" spans="1:14" s="34" customFormat="1" x14ac:dyDescent="0.3">
      <c r="A46" s="178" t="s">
        <v>54</v>
      </c>
      <c r="B46" s="179"/>
      <c r="C46" s="179"/>
      <c r="D46" s="96">
        <f>SUM(Tree_9[Amount])</f>
        <v>0</v>
      </c>
      <c r="F46" s="173" t="s">
        <v>33</v>
      </c>
      <c r="G46" s="174"/>
      <c r="H46" s="174"/>
      <c r="I46" s="43"/>
      <c r="J46" s="43"/>
      <c r="K46" s="43"/>
      <c r="L46" s="43"/>
      <c r="M46" s="36"/>
      <c r="N46" s="37"/>
    </row>
    <row r="47" spans="1:14" s="40" customFormat="1" ht="11.1" customHeight="1" x14ac:dyDescent="0.3">
      <c r="A47" s="38"/>
      <c r="B47" s="38"/>
      <c r="C47" s="38"/>
      <c r="D47" s="39"/>
      <c r="F47" s="173"/>
      <c r="G47" s="174"/>
      <c r="H47" s="174"/>
      <c r="I47" s="43"/>
      <c r="J47" s="43"/>
      <c r="K47" s="43"/>
      <c r="L47" s="43"/>
      <c r="M47" s="36"/>
      <c r="N47" s="37"/>
    </row>
    <row r="48" spans="1:14" s="17" customFormat="1" ht="23.1" customHeight="1" x14ac:dyDescent="0.3">
      <c r="A48" s="191" t="s">
        <v>68</v>
      </c>
      <c r="B48" s="192"/>
      <c r="C48" s="192"/>
      <c r="D48" s="193"/>
      <c r="F48" s="183" t="s">
        <v>55</v>
      </c>
      <c r="G48" s="184"/>
      <c r="H48" s="185"/>
      <c r="I48" s="44"/>
      <c r="J48" s="44"/>
      <c r="K48" s="44"/>
      <c r="L48" s="44"/>
      <c r="M48" s="19"/>
      <c r="N48" s="20"/>
    </row>
    <row r="49" spans="1:14" s="41" customFormat="1" ht="12.75" customHeight="1" x14ac:dyDescent="0.25">
      <c r="A49" s="21" t="s">
        <v>21</v>
      </c>
      <c r="B49" s="22" t="s">
        <v>22</v>
      </c>
      <c r="C49" s="22" t="s">
        <v>23</v>
      </c>
      <c r="D49" s="23" t="s">
        <v>25</v>
      </c>
      <c r="F49" s="186"/>
      <c r="G49" s="187"/>
      <c r="H49" s="188"/>
      <c r="I49" s="89"/>
      <c r="J49" s="89"/>
      <c r="K49" s="89"/>
      <c r="L49" s="89"/>
      <c r="M49" s="30"/>
      <c r="N49" s="42"/>
    </row>
    <row r="50" spans="1:14" x14ac:dyDescent="0.3">
      <c r="A50" s="100"/>
      <c r="B50" s="101"/>
      <c r="C50" s="101"/>
      <c r="D50" s="112"/>
      <c r="F50" s="103"/>
      <c r="G50" s="104"/>
      <c r="H50" s="109"/>
      <c r="I50" s="89"/>
      <c r="J50" s="89"/>
      <c r="K50" s="89"/>
      <c r="L50" s="89"/>
      <c r="M50" s="30"/>
      <c r="N50" s="16"/>
    </row>
    <row r="51" spans="1:14" x14ac:dyDescent="0.3">
      <c r="A51" s="106"/>
      <c r="B51" s="107"/>
      <c r="C51" s="107"/>
      <c r="D51" s="113"/>
      <c r="F51" s="103"/>
      <c r="G51" s="104"/>
      <c r="H51" s="109"/>
      <c r="I51" s="89"/>
      <c r="J51" s="89"/>
      <c r="K51" s="89"/>
      <c r="L51" s="89"/>
      <c r="M51" s="30"/>
      <c r="N51" s="16"/>
    </row>
    <row r="52" spans="1:14" x14ac:dyDescent="0.3">
      <c r="A52" s="106"/>
      <c r="B52" s="107"/>
      <c r="C52" s="107"/>
      <c r="D52" s="114"/>
      <c r="F52" s="103"/>
      <c r="H52" s="109"/>
      <c r="I52" s="89"/>
      <c r="J52" s="89"/>
      <c r="K52" s="89"/>
      <c r="L52" s="89"/>
      <c r="M52" s="30"/>
      <c r="N52" s="16"/>
    </row>
    <row r="53" spans="1:14" x14ac:dyDescent="0.3">
      <c r="A53" s="106"/>
      <c r="B53" s="107"/>
      <c r="C53" s="107"/>
      <c r="D53" s="113"/>
      <c r="F53" s="103"/>
      <c r="G53" s="104"/>
      <c r="H53" s="109"/>
      <c r="I53" s="89"/>
      <c r="J53" s="89"/>
      <c r="K53" s="89"/>
      <c r="L53" s="89"/>
      <c r="M53" s="30"/>
      <c r="N53" s="16"/>
    </row>
    <row r="54" spans="1:14" x14ac:dyDescent="0.3">
      <c r="A54" s="106"/>
      <c r="B54" s="107"/>
      <c r="C54" s="107"/>
      <c r="D54" s="114"/>
      <c r="F54" s="103"/>
      <c r="G54" s="104"/>
      <c r="H54" s="109"/>
      <c r="I54" s="89"/>
      <c r="J54" s="89"/>
      <c r="K54" s="89"/>
      <c r="L54" s="89"/>
      <c r="M54" s="30"/>
      <c r="N54" s="16"/>
    </row>
    <row r="55" spans="1:14" x14ac:dyDescent="0.3">
      <c r="A55" s="106"/>
      <c r="B55" s="107"/>
      <c r="C55" s="107"/>
      <c r="D55" s="113"/>
      <c r="F55" s="103"/>
      <c r="G55" s="104"/>
      <c r="H55" s="109"/>
      <c r="I55" s="89"/>
      <c r="J55" s="89"/>
      <c r="K55" s="89"/>
      <c r="L55" s="89"/>
      <c r="M55" s="30"/>
      <c r="N55" s="16"/>
    </row>
    <row r="56" spans="1:14" x14ac:dyDescent="0.3">
      <c r="A56" s="106"/>
      <c r="B56" s="107"/>
      <c r="C56" s="107"/>
      <c r="D56" s="114"/>
      <c r="F56" s="103"/>
      <c r="G56" s="104"/>
      <c r="H56" s="109"/>
      <c r="I56" s="89"/>
      <c r="J56" s="89"/>
      <c r="K56" s="89"/>
      <c r="L56" s="89"/>
      <c r="M56" s="30"/>
      <c r="N56" s="16"/>
    </row>
    <row r="57" spans="1:14" x14ac:dyDescent="0.3">
      <c r="A57" s="106"/>
      <c r="B57" s="107"/>
      <c r="C57" s="107"/>
      <c r="D57" s="113"/>
      <c r="F57" s="103"/>
      <c r="G57" s="104"/>
      <c r="H57" s="109"/>
      <c r="I57" s="89"/>
      <c r="J57" s="89"/>
      <c r="K57" s="89"/>
      <c r="L57" s="89"/>
      <c r="M57" s="30"/>
      <c r="N57" s="16"/>
    </row>
    <row r="58" spans="1:14" x14ac:dyDescent="0.3">
      <c r="A58" s="106"/>
      <c r="B58" s="107"/>
      <c r="C58" s="107"/>
      <c r="D58" s="114"/>
      <c r="F58" s="103"/>
      <c r="G58" s="104"/>
      <c r="H58" s="109"/>
      <c r="I58" s="89"/>
      <c r="J58" s="89"/>
      <c r="K58" s="89"/>
      <c r="L58" s="89"/>
      <c r="M58" s="30"/>
      <c r="N58" s="16"/>
    </row>
    <row r="59" spans="1:14" x14ac:dyDescent="0.3">
      <c r="A59" s="106"/>
      <c r="B59" s="107"/>
      <c r="C59" s="107"/>
      <c r="D59" s="113"/>
      <c r="F59" s="103"/>
      <c r="G59" s="104"/>
      <c r="H59" s="109"/>
      <c r="I59" s="89"/>
      <c r="J59" s="190"/>
      <c r="K59" s="190"/>
      <c r="L59" s="89"/>
      <c r="M59" s="30"/>
      <c r="N59" s="16"/>
    </row>
    <row r="60" spans="1:14" x14ac:dyDescent="0.3">
      <c r="A60" s="106"/>
      <c r="B60" s="107"/>
      <c r="C60" s="107"/>
      <c r="D60" s="114"/>
      <c r="F60" s="103"/>
      <c r="G60" s="104"/>
      <c r="H60" s="109"/>
      <c r="I60" s="189"/>
      <c r="J60" s="189"/>
      <c r="K60" s="189"/>
      <c r="L60" s="189"/>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78" t="s">
        <v>56</v>
      </c>
      <c r="B65" s="179"/>
      <c r="C65" s="179"/>
      <c r="D65" s="96">
        <f>SUM(Pest_9[Amount])</f>
        <v>0</v>
      </c>
      <c r="F65" s="173" t="s">
        <v>33</v>
      </c>
      <c r="G65" s="174"/>
      <c r="H65" s="174"/>
    </row>
    <row r="66" spans="1:8" x14ac:dyDescent="0.3">
      <c r="F66" s="173"/>
      <c r="G66" s="174"/>
      <c r="H66" s="174"/>
    </row>
    <row r="67" spans="1:8" ht="17.399999999999999" x14ac:dyDescent="0.3">
      <c r="A67" s="198" t="s">
        <v>69</v>
      </c>
      <c r="B67" s="198"/>
      <c r="C67" s="198"/>
      <c r="D67" s="198"/>
      <c r="E67" s="17"/>
      <c r="F67" s="183" t="s">
        <v>57</v>
      </c>
      <c r="G67" s="184"/>
      <c r="H67" s="185"/>
    </row>
    <row r="68" spans="1:8" x14ac:dyDescent="0.3">
      <c r="A68" s="21" t="s">
        <v>21</v>
      </c>
      <c r="B68" s="22" t="s">
        <v>22</v>
      </c>
      <c r="C68" s="22" t="s">
        <v>23</v>
      </c>
      <c r="D68" s="23" t="s">
        <v>25</v>
      </c>
      <c r="E68" s="24"/>
      <c r="F68" s="186"/>
      <c r="G68" s="187"/>
      <c r="H68" s="188"/>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78" t="s">
        <v>58</v>
      </c>
      <c r="B84" s="179"/>
      <c r="C84" s="179"/>
      <c r="D84" s="96">
        <f>SUM(Garbage_9[Amount])</f>
        <v>0</v>
      </c>
      <c r="E84" s="34"/>
      <c r="F84" s="173" t="s">
        <v>33</v>
      </c>
      <c r="G84" s="174"/>
      <c r="H84" s="174"/>
    </row>
    <row r="85" spans="1:8" x14ac:dyDescent="0.3">
      <c r="A85" s="38"/>
      <c r="B85" s="38"/>
      <c r="C85" s="38"/>
      <c r="D85" s="39"/>
      <c r="E85" s="40"/>
      <c r="F85" s="173"/>
      <c r="G85" s="174"/>
      <c r="H85" s="174"/>
    </row>
    <row r="86" spans="1:8" ht="17.399999999999999" x14ac:dyDescent="0.3">
      <c r="A86" s="191" t="s">
        <v>59</v>
      </c>
      <c r="B86" s="192"/>
      <c r="C86" s="192"/>
      <c r="D86" s="193"/>
      <c r="E86" s="17"/>
      <c r="F86" s="183" t="s">
        <v>60</v>
      </c>
      <c r="G86" s="184"/>
      <c r="H86" s="185"/>
    </row>
    <row r="87" spans="1:8" x14ac:dyDescent="0.3">
      <c r="A87" s="21" t="s">
        <v>21</v>
      </c>
      <c r="B87" s="22" t="s">
        <v>22</v>
      </c>
      <c r="C87" s="22" t="s">
        <v>23</v>
      </c>
      <c r="D87" s="23" t="s">
        <v>25</v>
      </c>
      <c r="E87" s="41"/>
      <c r="F87" s="186"/>
      <c r="G87" s="187"/>
      <c r="H87" s="188"/>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78" t="s">
        <v>61</v>
      </c>
      <c r="B103" s="179"/>
      <c r="C103" s="179"/>
      <c r="D103" s="96">
        <f>SUM(Boarding_9[Amount])</f>
        <v>0</v>
      </c>
      <c r="E103" s="34"/>
      <c r="F103" s="173" t="s">
        <v>33</v>
      </c>
      <c r="G103" s="174"/>
      <c r="H103" s="174"/>
    </row>
    <row r="104" spans="1:8" x14ac:dyDescent="0.3">
      <c r="A104" s="38"/>
      <c r="B104" s="38"/>
      <c r="C104" s="38"/>
      <c r="D104" s="39"/>
      <c r="E104" s="40"/>
      <c r="F104" s="173"/>
      <c r="G104" s="174"/>
      <c r="H104" s="174"/>
    </row>
    <row r="105" spans="1:8" ht="17.399999999999999" x14ac:dyDescent="0.3">
      <c r="A105" s="191" t="s">
        <v>70</v>
      </c>
      <c r="B105" s="192"/>
      <c r="C105" s="192"/>
      <c r="D105" s="193"/>
      <c r="E105" s="17"/>
      <c r="F105" s="183" t="s">
        <v>62</v>
      </c>
      <c r="G105" s="184"/>
      <c r="H105" s="185"/>
    </row>
    <row r="106" spans="1:8" x14ac:dyDescent="0.3">
      <c r="A106" s="21" t="s">
        <v>21</v>
      </c>
      <c r="B106" s="22" t="s">
        <v>22</v>
      </c>
      <c r="C106" s="22" t="s">
        <v>23</v>
      </c>
      <c r="D106" s="23" t="s">
        <v>25</v>
      </c>
      <c r="E106" s="41"/>
      <c r="F106" s="186"/>
      <c r="G106" s="187"/>
      <c r="H106" s="188"/>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78" t="s">
        <v>63</v>
      </c>
      <c r="B122" s="179"/>
      <c r="C122" s="179"/>
      <c r="D122" s="96">
        <f>SUM(Fence_9[Amount])</f>
        <v>0</v>
      </c>
      <c r="E122" s="34"/>
      <c r="F122" s="173" t="s">
        <v>33</v>
      </c>
      <c r="G122" s="174"/>
      <c r="H122" s="174"/>
    </row>
    <row r="123" spans="1:8" x14ac:dyDescent="0.3">
      <c r="F123" s="173"/>
      <c r="G123" s="174"/>
      <c r="H123" s="174"/>
    </row>
    <row r="124" spans="1:8" ht="17.399999999999999" x14ac:dyDescent="0.3">
      <c r="A124" s="191" t="s">
        <v>26</v>
      </c>
      <c r="B124" s="192"/>
      <c r="C124" s="192"/>
      <c r="D124" s="193"/>
      <c r="E124" s="17"/>
      <c r="F124" s="183" t="s">
        <v>11</v>
      </c>
      <c r="G124" s="184"/>
      <c r="H124" s="185"/>
    </row>
    <row r="125" spans="1:8" x14ac:dyDescent="0.3">
      <c r="A125" s="21" t="s">
        <v>21</v>
      </c>
      <c r="B125" s="22" t="s">
        <v>22</v>
      </c>
      <c r="C125" s="22" t="s">
        <v>23</v>
      </c>
      <c r="D125" s="23" t="s">
        <v>25</v>
      </c>
      <c r="E125" s="41"/>
      <c r="F125" s="186"/>
      <c r="G125" s="187"/>
      <c r="H125" s="188"/>
    </row>
    <row r="126" spans="1:8" x14ac:dyDescent="0.3">
      <c r="A126" s="100"/>
      <c r="B126" s="101"/>
      <c r="C126" s="101"/>
      <c r="D126" s="148">
        <v>17310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78" t="s">
        <v>27</v>
      </c>
      <c r="B141" s="179"/>
      <c r="C141" s="179"/>
      <c r="D141" s="96">
        <f>SUM(Demolition_9[Amount])</f>
        <v>17310</v>
      </c>
      <c r="E141" s="34"/>
      <c r="F141" s="173" t="s">
        <v>33</v>
      </c>
      <c r="G141" s="174"/>
      <c r="H141" s="174"/>
    </row>
    <row r="142" spans="1:8" x14ac:dyDescent="0.3">
      <c r="A142" s="38"/>
      <c r="B142" s="38"/>
      <c r="C142" s="38"/>
      <c r="D142" s="39"/>
      <c r="E142" s="40"/>
      <c r="F142" s="173"/>
      <c r="G142" s="174"/>
      <c r="H142" s="174"/>
    </row>
    <row r="143" spans="1:8" ht="17.399999999999999" x14ac:dyDescent="0.3">
      <c r="A143" s="191" t="s">
        <v>64</v>
      </c>
      <c r="B143" s="192"/>
      <c r="C143" s="192"/>
      <c r="D143" s="193"/>
      <c r="E143" s="17"/>
      <c r="F143" s="183" t="s">
        <v>44</v>
      </c>
      <c r="G143" s="184"/>
      <c r="H143" s="185"/>
    </row>
    <row r="144" spans="1:8" x14ac:dyDescent="0.3">
      <c r="A144" s="21" t="s">
        <v>21</v>
      </c>
      <c r="B144" s="22" t="s">
        <v>22</v>
      </c>
      <c r="C144" s="22" t="s">
        <v>23</v>
      </c>
      <c r="D144" s="23" t="s">
        <v>25</v>
      </c>
      <c r="E144" s="41"/>
      <c r="F144" s="186"/>
      <c r="G144" s="187"/>
      <c r="H144" s="188"/>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78" t="s">
        <v>65</v>
      </c>
      <c r="B160" s="179"/>
      <c r="C160" s="179"/>
      <c r="D160" s="96">
        <f>SUM(Rehab_9[Amount])</f>
        <v>0</v>
      </c>
      <c r="E160" s="34"/>
      <c r="F160" s="173" t="s">
        <v>33</v>
      </c>
      <c r="G160" s="174"/>
      <c r="H160" s="174"/>
    </row>
    <row r="161" spans="6:8" x14ac:dyDescent="0.3">
      <c r="F161" s="173"/>
      <c r="G161" s="174"/>
      <c r="H161" s="174"/>
    </row>
  </sheetData>
  <sheetProtection algorithmName="SHA-512" hashValue="G/PE8beCzHvSlgxohaCnv7ie46yA0ulPsgDt2RrzuAzK0VQDHV2og9f2wrkBMGbF1hMz5tQ0/OwBYW0lr9ldjg==" saltValue="hMdELrZqiNt8VSM0MuxDsw=="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61"/>
  <sheetViews>
    <sheetView showGridLines="0" zoomScaleNormal="100" workbookViewId="0">
      <pane ySplit="9" topLeftCell="A112"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5" t="s">
        <v>24</v>
      </c>
      <c r="B1" s="175"/>
      <c r="C1" s="175"/>
      <c r="D1" s="175"/>
      <c r="E1" s="1"/>
      <c r="F1" s="2"/>
      <c r="G1" s="2"/>
      <c r="H1" s="1"/>
    </row>
    <row r="2" spans="1:14" ht="24.9" customHeight="1" x14ac:dyDescent="0.3">
      <c r="A2" s="176" t="s">
        <v>71</v>
      </c>
      <c r="B2" s="176"/>
      <c r="C2" s="176"/>
      <c r="D2" s="176"/>
      <c r="E2" s="4"/>
      <c r="F2" s="130"/>
      <c r="G2" s="130"/>
      <c r="H2" s="5"/>
    </row>
    <row r="3" spans="1:14" ht="31.5" customHeight="1" x14ac:dyDescent="0.3">
      <c r="A3" s="176"/>
      <c r="B3" s="176"/>
      <c r="C3" s="176"/>
      <c r="D3" s="176"/>
      <c r="E3" s="4"/>
      <c r="F3" s="130"/>
      <c r="G3" s="130"/>
      <c r="H3" s="5"/>
    </row>
    <row r="4" spans="1:14" ht="15" customHeight="1" x14ac:dyDescent="0.25">
      <c r="A4" s="75" t="s">
        <v>19</v>
      </c>
      <c r="B4" s="194" t="str">
        <f>IF('Summary Sheet'!B131="","",'Summary Sheet'!B131)</f>
        <v>4030 W ADAMS ST</v>
      </c>
      <c r="C4" s="194"/>
      <c r="D4" s="130"/>
      <c r="E4" s="4"/>
      <c r="F4" s="130"/>
      <c r="G4" s="130"/>
      <c r="H4" s="5"/>
    </row>
    <row r="5" spans="1:14" ht="15" customHeight="1" x14ac:dyDescent="0.25">
      <c r="A5" s="75" t="s">
        <v>20</v>
      </c>
      <c r="B5" s="195" t="str">
        <f>IF('Summary Sheet'!C131="","",'Summary Sheet'!C131)</f>
        <v/>
      </c>
      <c r="C5" s="195"/>
      <c r="D5" s="130"/>
      <c r="E5" s="4"/>
      <c r="F5" s="130"/>
      <c r="G5" s="130"/>
      <c r="H5" s="5"/>
    </row>
    <row r="6" spans="1:14" ht="15" customHeight="1" x14ac:dyDescent="0.25">
      <c r="A6" s="75" t="s">
        <v>36</v>
      </c>
      <c r="B6" s="177"/>
      <c r="C6" s="177"/>
      <c r="D6" s="6"/>
      <c r="E6" s="7"/>
    </row>
    <row r="7" spans="1:14" ht="15" customHeight="1" x14ac:dyDescent="0.25">
      <c r="A7" s="7"/>
      <c r="B7" s="196" t="s">
        <v>34</v>
      </c>
      <c r="C7" s="196"/>
      <c r="D7" s="10"/>
    </row>
    <row r="8" spans="1:14" ht="20.100000000000001" customHeight="1" x14ac:dyDescent="0.25">
      <c r="B8" s="11"/>
      <c r="C8" s="11"/>
      <c r="D8" s="12" t="s">
        <v>31</v>
      </c>
      <c r="F8" s="180" t="s">
        <v>32</v>
      </c>
      <c r="G8" s="181"/>
      <c r="H8" s="182"/>
    </row>
    <row r="9" spans="1:14" s="14" customFormat="1" ht="20.100000000000001" customHeight="1" x14ac:dyDescent="0.25">
      <c r="A9" s="197"/>
      <c r="B9" s="197"/>
      <c r="C9" s="197"/>
      <c r="D9" s="13">
        <f>SUM(D27,D46,D65,D84,D103,D122,D141,D160)</f>
        <v>23510</v>
      </c>
      <c r="F9" s="15" t="s">
        <v>28</v>
      </c>
      <c r="G9" s="15" t="s">
        <v>29</v>
      </c>
      <c r="H9" s="15" t="s">
        <v>30</v>
      </c>
      <c r="I9" s="16"/>
      <c r="J9" s="16"/>
      <c r="K9" s="16"/>
      <c r="L9" s="16"/>
      <c r="M9" s="16"/>
      <c r="N9" s="16"/>
    </row>
    <row r="10" spans="1:14" s="17" customFormat="1" ht="23.1" customHeight="1" x14ac:dyDescent="0.3">
      <c r="A10" s="198" t="s">
        <v>51</v>
      </c>
      <c r="B10" s="198"/>
      <c r="C10" s="198"/>
      <c r="D10" s="198"/>
      <c r="F10" s="183" t="s">
        <v>66</v>
      </c>
      <c r="G10" s="184"/>
      <c r="H10" s="185"/>
      <c r="I10" s="18"/>
      <c r="J10" s="18"/>
      <c r="K10" s="18"/>
      <c r="L10" s="18"/>
      <c r="M10" s="19"/>
      <c r="N10" s="20"/>
    </row>
    <row r="11" spans="1:14" s="24" customFormat="1" ht="12.75" customHeight="1" x14ac:dyDescent="0.25">
      <c r="A11" s="21" t="s">
        <v>21</v>
      </c>
      <c r="B11" s="22" t="s">
        <v>22</v>
      </c>
      <c r="C11" s="22" t="s">
        <v>23</v>
      </c>
      <c r="D11" s="23" t="s">
        <v>25</v>
      </c>
      <c r="F11" s="186"/>
      <c r="G11" s="187"/>
      <c r="H11" s="188"/>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78" t="s">
        <v>53</v>
      </c>
      <c r="B27" s="179"/>
      <c r="C27" s="179"/>
      <c r="D27" s="96">
        <f>SUM(Grass_99[Amount])</f>
        <v>0</v>
      </c>
      <c r="F27" s="173" t="s">
        <v>33</v>
      </c>
      <c r="G27" s="174"/>
      <c r="H27" s="174"/>
      <c r="I27" s="35"/>
      <c r="J27" s="35"/>
      <c r="K27" s="35"/>
      <c r="L27" s="35"/>
      <c r="M27" s="36"/>
      <c r="N27" s="37"/>
    </row>
    <row r="28" spans="1:14" s="40" customFormat="1" ht="11.1" customHeight="1" x14ac:dyDescent="0.3">
      <c r="A28" s="38"/>
      <c r="B28" s="38"/>
      <c r="C28" s="38"/>
      <c r="D28" s="39"/>
      <c r="F28" s="173"/>
      <c r="G28" s="174"/>
      <c r="H28" s="174"/>
      <c r="I28" s="35"/>
      <c r="J28" s="35"/>
      <c r="K28" s="35"/>
      <c r="L28" s="35"/>
      <c r="M28" s="36"/>
      <c r="N28" s="37"/>
    </row>
    <row r="29" spans="1:14" s="17" customFormat="1" ht="23.1" customHeight="1" x14ac:dyDescent="0.3">
      <c r="A29" s="191" t="s">
        <v>67</v>
      </c>
      <c r="B29" s="192"/>
      <c r="C29" s="192"/>
      <c r="D29" s="193"/>
      <c r="F29" s="183" t="s">
        <v>52</v>
      </c>
      <c r="G29" s="184"/>
      <c r="H29" s="185"/>
      <c r="I29" s="18"/>
      <c r="J29" s="18"/>
      <c r="K29" s="18"/>
      <c r="L29" s="18"/>
      <c r="M29" s="19"/>
      <c r="N29" s="20"/>
    </row>
    <row r="30" spans="1:14" s="41" customFormat="1" ht="12.75" customHeight="1" x14ac:dyDescent="0.25">
      <c r="A30" s="21" t="s">
        <v>21</v>
      </c>
      <c r="B30" s="22" t="s">
        <v>22</v>
      </c>
      <c r="C30" s="22" t="s">
        <v>23</v>
      </c>
      <c r="D30" s="23" t="s">
        <v>25</v>
      </c>
      <c r="F30" s="186"/>
      <c r="G30" s="187"/>
      <c r="H30" s="188"/>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31"/>
      <c r="J44" s="29"/>
      <c r="K44" s="29"/>
      <c r="L44" s="131"/>
      <c r="M44" s="30"/>
      <c r="N44" s="16"/>
    </row>
    <row r="45" spans="1:14" x14ac:dyDescent="0.3">
      <c r="A45" s="106"/>
      <c r="B45" s="107"/>
      <c r="C45" s="107"/>
      <c r="D45" s="114"/>
      <c r="F45" s="103"/>
      <c r="G45" s="104"/>
      <c r="H45" s="109"/>
      <c r="I45" s="131"/>
      <c r="J45" s="29"/>
      <c r="K45" s="29"/>
      <c r="L45" s="131"/>
      <c r="M45" s="30"/>
      <c r="N45" s="16"/>
    </row>
    <row r="46" spans="1:14" s="34" customFormat="1" x14ac:dyDescent="0.3">
      <c r="A46" s="178" t="s">
        <v>54</v>
      </c>
      <c r="B46" s="179"/>
      <c r="C46" s="179"/>
      <c r="D46" s="96">
        <f>SUM(Tree_99[Amount])</f>
        <v>0</v>
      </c>
      <c r="F46" s="173" t="s">
        <v>33</v>
      </c>
      <c r="G46" s="174"/>
      <c r="H46" s="174"/>
      <c r="I46" s="43"/>
      <c r="J46" s="43"/>
      <c r="K46" s="43"/>
      <c r="L46" s="43"/>
      <c r="M46" s="36"/>
      <c r="N46" s="37"/>
    </row>
    <row r="47" spans="1:14" s="40" customFormat="1" ht="11.1" customHeight="1" x14ac:dyDescent="0.3">
      <c r="A47" s="38"/>
      <c r="B47" s="38"/>
      <c r="C47" s="38"/>
      <c r="D47" s="39"/>
      <c r="F47" s="173"/>
      <c r="G47" s="174"/>
      <c r="H47" s="174"/>
      <c r="I47" s="43"/>
      <c r="J47" s="43"/>
      <c r="K47" s="43"/>
      <c r="L47" s="43"/>
      <c r="M47" s="36"/>
      <c r="N47" s="37"/>
    </row>
    <row r="48" spans="1:14" s="17" customFormat="1" ht="23.1" customHeight="1" x14ac:dyDescent="0.3">
      <c r="A48" s="191" t="s">
        <v>68</v>
      </c>
      <c r="B48" s="192"/>
      <c r="C48" s="192"/>
      <c r="D48" s="193"/>
      <c r="F48" s="183" t="s">
        <v>55</v>
      </c>
      <c r="G48" s="184"/>
      <c r="H48" s="185"/>
      <c r="I48" s="44"/>
      <c r="J48" s="44"/>
      <c r="K48" s="44"/>
      <c r="L48" s="44"/>
      <c r="M48" s="19"/>
      <c r="N48" s="20"/>
    </row>
    <row r="49" spans="1:14" s="41" customFormat="1" ht="12.75" customHeight="1" x14ac:dyDescent="0.25">
      <c r="A49" s="21" t="s">
        <v>21</v>
      </c>
      <c r="B49" s="22" t="s">
        <v>22</v>
      </c>
      <c r="C49" s="22" t="s">
        <v>23</v>
      </c>
      <c r="D49" s="23" t="s">
        <v>25</v>
      </c>
      <c r="F49" s="186"/>
      <c r="G49" s="187"/>
      <c r="H49" s="188"/>
      <c r="I49" s="131"/>
      <c r="J49" s="131"/>
      <c r="K49" s="131"/>
      <c r="L49" s="131"/>
      <c r="M49" s="30"/>
      <c r="N49" s="42"/>
    </row>
    <row r="50" spans="1:14" x14ac:dyDescent="0.3">
      <c r="A50" s="100"/>
      <c r="B50" s="101"/>
      <c r="C50" s="101"/>
      <c r="D50" s="112"/>
      <c r="F50" s="103"/>
      <c r="G50" s="104"/>
      <c r="H50" s="109"/>
      <c r="I50" s="131"/>
      <c r="J50" s="131"/>
      <c r="K50" s="131"/>
      <c r="L50" s="131"/>
      <c r="M50" s="30"/>
      <c r="N50" s="16"/>
    </row>
    <row r="51" spans="1:14" x14ac:dyDescent="0.3">
      <c r="A51" s="106"/>
      <c r="B51" s="107"/>
      <c r="C51" s="107"/>
      <c r="D51" s="113"/>
      <c r="F51" s="103"/>
      <c r="G51" s="104"/>
      <c r="H51" s="109"/>
      <c r="I51" s="131"/>
      <c r="J51" s="131"/>
      <c r="K51" s="131"/>
      <c r="L51" s="131"/>
      <c r="M51" s="30"/>
      <c r="N51" s="16"/>
    </row>
    <row r="52" spans="1:14" x14ac:dyDescent="0.3">
      <c r="A52" s="106"/>
      <c r="B52" s="107"/>
      <c r="C52" s="107"/>
      <c r="D52" s="114"/>
      <c r="F52" s="103"/>
      <c r="H52" s="109"/>
      <c r="I52" s="131"/>
      <c r="J52" s="131"/>
      <c r="K52" s="131"/>
      <c r="L52" s="131"/>
      <c r="M52" s="30"/>
      <c r="N52" s="16"/>
    </row>
    <row r="53" spans="1:14" x14ac:dyDescent="0.3">
      <c r="A53" s="106"/>
      <c r="B53" s="107"/>
      <c r="C53" s="107"/>
      <c r="D53" s="113"/>
      <c r="F53" s="103"/>
      <c r="G53" s="104"/>
      <c r="H53" s="109"/>
      <c r="I53" s="131"/>
      <c r="J53" s="131"/>
      <c r="K53" s="131"/>
      <c r="L53" s="131"/>
      <c r="M53" s="30"/>
      <c r="N53" s="16"/>
    </row>
    <row r="54" spans="1:14" x14ac:dyDescent="0.3">
      <c r="A54" s="106"/>
      <c r="B54" s="107"/>
      <c r="C54" s="107"/>
      <c r="D54" s="114"/>
      <c r="F54" s="103"/>
      <c r="G54" s="104"/>
      <c r="H54" s="109"/>
      <c r="I54" s="131"/>
      <c r="J54" s="131"/>
      <c r="K54" s="131"/>
      <c r="L54" s="131"/>
      <c r="M54" s="30"/>
      <c r="N54" s="16"/>
    </row>
    <row r="55" spans="1:14" x14ac:dyDescent="0.3">
      <c r="A55" s="106"/>
      <c r="B55" s="107"/>
      <c r="C55" s="107"/>
      <c r="D55" s="113"/>
      <c r="F55" s="103"/>
      <c r="G55" s="104"/>
      <c r="H55" s="109"/>
      <c r="I55" s="131"/>
      <c r="J55" s="131"/>
      <c r="K55" s="131"/>
      <c r="L55" s="131"/>
      <c r="M55" s="30"/>
      <c r="N55" s="16"/>
    </row>
    <row r="56" spans="1:14" x14ac:dyDescent="0.3">
      <c r="A56" s="106"/>
      <c r="B56" s="107"/>
      <c r="C56" s="107"/>
      <c r="D56" s="114"/>
      <c r="F56" s="103"/>
      <c r="G56" s="104"/>
      <c r="H56" s="109"/>
      <c r="I56" s="131"/>
      <c r="J56" s="131"/>
      <c r="K56" s="131"/>
      <c r="L56" s="131"/>
      <c r="M56" s="30"/>
      <c r="N56" s="16"/>
    </row>
    <row r="57" spans="1:14" x14ac:dyDescent="0.3">
      <c r="A57" s="106"/>
      <c r="B57" s="107"/>
      <c r="C57" s="107"/>
      <c r="D57" s="113"/>
      <c r="F57" s="103"/>
      <c r="G57" s="104"/>
      <c r="H57" s="109"/>
      <c r="I57" s="131"/>
      <c r="J57" s="131"/>
      <c r="K57" s="131"/>
      <c r="L57" s="131"/>
      <c r="M57" s="30"/>
      <c r="N57" s="16"/>
    </row>
    <row r="58" spans="1:14" x14ac:dyDescent="0.3">
      <c r="A58" s="106"/>
      <c r="B58" s="107"/>
      <c r="C58" s="107"/>
      <c r="D58" s="114"/>
      <c r="F58" s="103"/>
      <c r="G58" s="104"/>
      <c r="H58" s="109"/>
      <c r="I58" s="131"/>
      <c r="J58" s="131"/>
      <c r="K58" s="131"/>
      <c r="L58" s="131"/>
      <c r="M58" s="30"/>
      <c r="N58" s="16"/>
    </row>
    <row r="59" spans="1:14" x14ac:dyDescent="0.3">
      <c r="A59" s="106"/>
      <c r="B59" s="107"/>
      <c r="C59" s="107"/>
      <c r="D59" s="113"/>
      <c r="F59" s="103"/>
      <c r="G59" s="104"/>
      <c r="H59" s="109"/>
      <c r="I59" s="131"/>
      <c r="J59" s="190"/>
      <c r="K59" s="190"/>
      <c r="L59" s="131"/>
      <c r="M59" s="30"/>
      <c r="N59" s="16"/>
    </row>
    <row r="60" spans="1:14" x14ac:dyDescent="0.3">
      <c r="A60" s="106"/>
      <c r="B60" s="107"/>
      <c r="C60" s="107"/>
      <c r="D60" s="114"/>
      <c r="F60" s="103"/>
      <c r="G60" s="104"/>
      <c r="H60" s="109"/>
      <c r="I60" s="189"/>
      <c r="J60" s="189"/>
      <c r="K60" s="189"/>
      <c r="L60" s="189"/>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78" t="s">
        <v>56</v>
      </c>
      <c r="B65" s="179"/>
      <c r="C65" s="179"/>
      <c r="D65" s="96">
        <f>SUM(Pest_99[Amount])</f>
        <v>0</v>
      </c>
      <c r="F65" s="173" t="s">
        <v>33</v>
      </c>
      <c r="G65" s="174"/>
      <c r="H65" s="174"/>
    </row>
    <row r="66" spans="1:8" x14ac:dyDescent="0.3">
      <c r="F66" s="173"/>
      <c r="G66" s="174"/>
      <c r="H66" s="174"/>
    </row>
    <row r="67" spans="1:8" ht="17.399999999999999" x14ac:dyDescent="0.3">
      <c r="A67" s="198" t="s">
        <v>69</v>
      </c>
      <c r="B67" s="198"/>
      <c r="C67" s="198"/>
      <c r="D67" s="198"/>
      <c r="E67" s="17"/>
      <c r="F67" s="183" t="s">
        <v>57</v>
      </c>
      <c r="G67" s="184"/>
      <c r="H67" s="185"/>
    </row>
    <row r="68" spans="1:8" x14ac:dyDescent="0.3">
      <c r="A68" s="21" t="s">
        <v>21</v>
      </c>
      <c r="B68" s="22" t="s">
        <v>22</v>
      </c>
      <c r="C68" s="22" t="s">
        <v>23</v>
      </c>
      <c r="D68" s="23" t="s">
        <v>25</v>
      </c>
      <c r="E68" s="24"/>
      <c r="F68" s="186"/>
      <c r="G68" s="187"/>
      <c r="H68" s="188"/>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78" t="s">
        <v>58</v>
      </c>
      <c r="B84" s="179"/>
      <c r="C84" s="179"/>
      <c r="D84" s="96">
        <f>SUM(Garbage_99[Amount])</f>
        <v>0</v>
      </c>
      <c r="E84" s="34"/>
      <c r="F84" s="173" t="s">
        <v>33</v>
      </c>
      <c r="G84" s="174"/>
      <c r="H84" s="174"/>
    </row>
    <row r="85" spans="1:8" x14ac:dyDescent="0.3">
      <c r="A85" s="38"/>
      <c r="B85" s="38"/>
      <c r="C85" s="38"/>
      <c r="D85" s="39"/>
      <c r="E85" s="40"/>
      <c r="F85" s="173"/>
      <c r="G85" s="174"/>
      <c r="H85" s="174"/>
    </row>
    <row r="86" spans="1:8" ht="17.399999999999999" x14ac:dyDescent="0.3">
      <c r="A86" s="191" t="s">
        <v>59</v>
      </c>
      <c r="B86" s="192"/>
      <c r="C86" s="192"/>
      <c r="D86" s="193"/>
      <c r="E86" s="17"/>
      <c r="F86" s="183" t="s">
        <v>60</v>
      </c>
      <c r="G86" s="184"/>
      <c r="H86" s="185"/>
    </row>
    <row r="87" spans="1:8" x14ac:dyDescent="0.3">
      <c r="A87" s="21" t="s">
        <v>21</v>
      </c>
      <c r="B87" s="22" t="s">
        <v>22</v>
      </c>
      <c r="C87" s="22" t="s">
        <v>23</v>
      </c>
      <c r="D87" s="23" t="s">
        <v>25</v>
      </c>
      <c r="E87" s="41"/>
      <c r="F87" s="186"/>
      <c r="G87" s="187"/>
      <c r="H87" s="188"/>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78" t="s">
        <v>61</v>
      </c>
      <c r="B103" s="179"/>
      <c r="C103" s="179"/>
      <c r="D103" s="96">
        <f>SUM(Boarding_99[Amount])</f>
        <v>0</v>
      </c>
      <c r="E103" s="34"/>
      <c r="F103" s="173" t="s">
        <v>33</v>
      </c>
      <c r="G103" s="174"/>
      <c r="H103" s="174"/>
    </row>
    <row r="104" spans="1:8" x14ac:dyDescent="0.3">
      <c r="A104" s="38"/>
      <c r="B104" s="38"/>
      <c r="C104" s="38"/>
      <c r="D104" s="39"/>
      <c r="E104" s="40"/>
      <c r="F104" s="173"/>
      <c r="G104" s="174"/>
      <c r="H104" s="174"/>
    </row>
    <row r="105" spans="1:8" ht="17.399999999999999" x14ac:dyDescent="0.3">
      <c r="A105" s="191" t="s">
        <v>70</v>
      </c>
      <c r="B105" s="192"/>
      <c r="C105" s="192"/>
      <c r="D105" s="193"/>
      <c r="E105" s="17"/>
      <c r="F105" s="183" t="s">
        <v>62</v>
      </c>
      <c r="G105" s="184"/>
      <c r="H105" s="185"/>
    </row>
    <row r="106" spans="1:8" x14ac:dyDescent="0.3">
      <c r="A106" s="21" t="s">
        <v>21</v>
      </c>
      <c r="B106" s="22" t="s">
        <v>22</v>
      </c>
      <c r="C106" s="22" t="s">
        <v>23</v>
      </c>
      <c r="D106" s="23" t="s">
        <v>25</v>
      </c>
      <c r="E106" s="41"/>
      <c r="F106" s="186"/>
      <c r="G106" s="187"/>
      <c r="H106" s="188"/>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78" t="s">
        <v>63</v>
      </c>
      <c r="B122" s="179"/>
      <c r="C122" s="179"/>
      <c r="D122" s="96">
        <f>SUM(Fence_99[Amount])</f>
        <v>0</v>
      </c>
      <c r="E122" s="34"/>
      <c r="F122" s="173" t="s">
        <v>33</v>
      </c>
      <c r="G122" s="174"/>
      <c r="H122" s="174"/>
    </row>
    <row r="123" spans="1:8" x14ac:dyDescent="0.3">
      <c r="F123" s="173"/>
      <c r="G123" s="174"/>
      <c r="H123" s="174"/>
    </row>
    <row r="124" spans="1:8" ht="17.399999999999999" x14ac:dyDescent="0.3">
      <c r="A124" s="191" t="s">
        <v>26</v>
      </c>
      <c r="B124" s="192"/>
      <c r="C124" s="192"/>
      <c r="D124" s="193"/>
      <c r="E124" s="17"/>
      <c r="F124" s="183" t="s">
        <v>11</v>
      </c>
      <c r="G124" s="184"/>
      <c r="H124" s="185"/>
    </row>
    <row r="125" spans="1:8" x14ac:dyDescent="0.3">
      <c r="A125" s="21" t="s">
        <v>21</v>
      </c>
      <c r="B125" s="22" t="s">
        <v>22</v>
      </c>
      <c r="C125" s="22" t="s">
        <v>23</v>
      </c>
      <c r="D125" s="23" t="s">
        <v>25</v>
      </c>
      <c r="E125" s="41"/>
      <c r="F125" s="186"/>
      <c r="G125" s="187"/>
      <c r="H125" s="188"/>
    </row>
    <row r="126" spans="1:8" x14ac:dyDescent="0.3">
      <c r="A126" s="100"/>
      <c r="B126" s="101"/>
      <c r="C126" s="101"/>
      <c r="D126" s="112">
        <v>23510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78" t="s">
        <v>27</v>
      </c>
      <c r="B141" s="179"/>
      <c r="C141" s="179"/>
      <c r="D141" s="96">
        <f>SUM(Demolition_99[Amount])</f>
        <v>23510</v>
      </c>
      <c r="E141" s="34"/>
      <c r="F141" s="173" t="s">
        <v>33</v>
      </c>
      <c r="G141" s="174"/>
      <c r="H141" s="174"/>
    </row>
    <row r="142" spans="1:8" x14ac:dyDescent="0.3">
      <c r="A142" s="38"/>
      <c r="B142" s="38"/>
      <c r="C142" s="38"/>
      <c r="D142" s="39"/>
      <c r="E142" s="40"/>
      <c r="F142" s="173"/>
      <c r="G142" s="174"/>
      <c r="H142" s="174"/>
    </row>
    <row r="143" spans="1:8" ht="17.399999999999999" x14ac:dyDescent="0.3">
      <c r="A143" s="191" t="s">
        <v>64</v>
      </c>
      <c r="B143" s="192"/>
      <c r="C143" s="192"/>
      <c r="D143" s="193"/>
      <c r="E143" s="17"/>
      <c r="F143" s="183" t="s">
        <v>44</v>
      </c>
      <c r="G143" s="184"/>
      <c r="H143" s="185"/>
    </row>
    <row r="144" spans="1:8" x14ac:dyDescent="0.3">
      <c r="A144" s="21" t="s">
        <v>21</v>
      </c>
      <c r="B144" s="22" t="s">
        <v>22</v>
      </c>
      <c r="C144" s="22" t="s">
        <v>23</v>
      </c>
      <c r="D144" s="23" t="s">
        <v>25</v>
      </c>
      <c r="E144" s="41"/>
      <c r="F144" s="186"/>
      <c r="G144" s="187"/>
      <c r="H144" s="188"/>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78" t="s">
        <v>65</v>
      </c>
      <c r="B160" s="179"/>
      <c r="C160" s="179"/>
      <c r="D160" s="96">
        <f>SUM(Rehab_99[Amount])</f>
        <v>0</v>
      </c>
      <c r="E160" s="34"/>
      <c r="F160" s="173" t="s">
        <v>33</v>
      </c>
      <c r="G160" s="174"/>
      <c r="H160" s="174"/>
    </row>
    <row r="161" spans="6:8" x14ac:dyDescent="0.3">
      <c r="F161" s="173"/>
      <c r="G161" s="174"/>
      <c r="H161" s="174"/>
    </row>
  </sheetData>
  <sheetProtection algorithmName="SHA-512" hashValue="UOcQgiRoFUjsgskQbLYYEMPvFan0xkrnosKwnVI233G/u05kO3JKjUXstO7YCdiiaS4dtLhnVO/dy4hmQTiagg==" saltValue="SOdLkUFaiD9PP81/rvr9qg=="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61"/>
  <sheetViews>
    <sheetView showGridLines="0" zoomScaleNormal="100" workbookViewId="0">
      <pane ySplit="9" topLeftCell="A136"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5" t="s">
        <v>24</v>
      </c>
      <c r="B1" s="175"/>
      <c r="C1" s="175"/>
      <c r="D1" s="175"/>
      <c r="E1" s="1"/>
      <c r="F1" s="2"/>
      <c r="G1" s="2"/>
      <c r="H1" s="1"/>
    </row>
    <row r="2" spans="1:14" ht="24.9" customHeight="1" x14ac:dyDescent="0.3">
      <c r="A2" s="176" t="s">
        <v>71</v>
      </c>
      <c r="B2" s="176"/>
      <c r="C2" s="176"/>
      <c r="D2" s="176"/>
      <c r="E2" s="4"/>
      <c r="F2" s="130"/>
      <c r="G2" s="130"/>
      <c r="H2" s="5"/>
    </row>
    <row r="3" spans="1:14" ht="31.5" customHeight="1" x14ac:dyDescent="0.3">
      <c r="A3" s="176"/>
      <c r="B3" s="176"/>
      <c r="C3" s="176"/>
      <c r="D3" s="176"/>
      <c r="E3" s="4"/>
      <c r="F3" s="130"/>
      <c r="G3" s="130"/>
      <c r="H3" s="5"/>
    </row>
    <row r="4" spans="1:14" ht="15" customHeight="1" x14ac:dyDescent="0.25">
      <c r="A4" s="75" t="s">
        <v>19</v>
      </c>
      <c r="B4" s="194" t="str">
        <f>IF('Summary Sheet'!B132="","",'Summary Sheet'!B132)</f>
        <v>4037 W ADAMS ST</v>
      </c>
      <c r="C4" s="194"/>
      <c r="D4" s="130"/>
      <c r="E4" s="4"/>
      <c r="F4" s="130"/>
      <c r="G4" s="130"/>
      <c r="H4" s="5"/>
    </row>
    <row r="5" spans="1:14" ht="15" customHeight="1" x14ac:dyDescent="0.25">
      <c r="A5" s="75" t="s">
        <v>20</v>
      </c>
      <c r="B5" s="195" t="str">
        <f>IF('Summary Sheet'!C132="","",'Summary Sheet'!C132)</f>
        <v/>
      </c>
      <c r="C5" s="195"/>
      <c r="D5" s="130"/>
      <c r="E5" s="4"/>
      <c r="F5" s="130"/>
      <c r="G5" s="130"/>
      <c r="H5" s="5"/>
    </row>
    <row r="6" spans="1:14" ht="15" customHeight="1" x14ac:dyDescent="0.25">
      <c r="A6" s="75" t="s">
        <v>36</v>
      </c>
      <c r="B6" s="177"/>
      <c r="C6" s="177"/>
      <c r="D6" s="6"/>
      <c r="E6" s="7"/>
    </row>
    <row r="7" spans="1:14" ht="15" customHeight="1" x14ac:dyDescent="0.25">
      <c r="A7" s="7"/>
      <c r="B7" s="196" t="s">
        <v>34</v>
      </c>
      <c r="C7" s="196"/>
      <c r="D7" s="10"/>
    </row>
    <row r="8" spans="1:14" ht="20.100000000000001" customHeight="1" x14ac:dyDescent="0.25">
      <c r="B8" s="11"/>
      <c r="C8" s="11"/>
      <c r="D8" s="12" t="s">
        <v>31</v>
      </c>
      <c r="F8" s="180" t="s">
        <v>32</v>
      </c>
      <c r="G8" s="181"/>
      <c r="H8" s="182"/>
    </row>
    <row r="9" spans="1:14" s="14" customFormat="1" ht="20.100000000000001" customHeight="1" x14ac:dyDescent="0.25">
      <c r="A9" s="197"/>
      <c r="B9" s="197"/>
      <c r="C9" s="197"/>
      <c r="D9" s="13">
        <f>SUM(D27,D46,D65,D84,D103,D122,D141,D160)</f>
        <v>27010</v>
      </c>
      <c r="F9" s="15" t="s">
        <v>28</v>
      </c>
      <c r="G9" s="15" t="s">
        <v>29</v>
      </c>
      <c r="H9" s="15" t="s">
        <v>30</v>
      </c>
      <c r="I9" s="16"/>
      <c r="J9" s="16"/>
      <c r="K9" s="16"/>
      <c r="L9" s="16"/>
      <c r="M9" s="16"/>
      <c r="N9" s="16"/>
    </row>
    <row r="10" spans="1:14" s="17" customFormat="1" ht="23.1" customHeight="1" x14ac:dyDescent="0.3">
      <c r="A10" s="198" t="s">
        <v>51</v>
      </c>
      <c r="B10" s="198"/>
      <c r="C10" s="198"/>
      <c r="D10" s="198"/>
      <c r="F10" s="183" t="s">
        <v>66</v>
      </c>
      <c r="G10" s="184"/>
      <c r="H10" s="185"/>
      <c r="I10" s="18"/>
      <c r="J10" s="18"/>
      <c r="K10" s="18"/>
      <c r="L10" s="18"/>
      <c r="M10" s="19"/>
      <c r="N10" s="20"/>
    </row>
    <row r="11" spans="1:14" s="24" customFormat="1" ht="12.75" customHeight="1" x14ac:dyDescent="0.25">
      <c r="A11" s="21" t="s">
        <v>21</v>
      </c>
      <c r="B11" s="22" t="s">
        <v>22</v>
      </c>
      <c r="C11" s="22" t="s">
        <v>23</v>
      </c>
      <c r="D11" s="23" t="s">
        <v>25</v>
      </c>
      <c r="F11" s="186"/>
      <c r="G11" s="187"/>
      <c r="H11" s="188"/>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78" t="s">
        <v>53</v>
      </c>
      <c r="B27" s="179"/>
      <c r="C27" s="179"/>
      <c r="D27" s="96">
        <f>SUM(Grass_100[Amount])</f>
        <v>0</v>
      </c>
      <c r="F27" s="173" t="s">
        <v>33</v>
      </c>
      <c r="G27" s="174"/>
      <c r="H27" s="174"/>
      <c r="I27" s="35"/>
      <c r="J27" s="35"/>
      <c r="K27" s="35"/>
      <c r="L27" s="35"/>
      <c r="M27" s="36"/>
      <c r="N27" s="37"/>
    </row>
    <row r="28" spans="1:14" s="40" customFormat="1" ht="11.1" customHeight="1" x14ac:dyDescent="0.3">
      <c r="A28" s="38"/>
      <c r="B28" s="38"/>
      <c r="C28" s="38"/>
      <c r="D28" s="39"/>
      <c r="F28" s="173"/>
      <c r="G28" s="174"/>
      <c r="H28" s="174"/>
      <c r="I28" s="35"/>
      <c r="J28" s="35"/>
      <c r="K28" s="35"/>
      <c r="L28" s="35"/>
      <c r="M28" s="36"/>
      <c r="N28" s="37"/>
    </row>
    <row r="29" spans="1:14" s="17" customFormat="1" ht="23.1" customHeight="1" x14ac:dyDescent="0.3">
      <c r="A29" s="191" t="s">
        <v>67</v>
      </c>
      <c r="B29" s="192"/>
      <c r="C29" s="192"/>
      <c r="D29" s="193"/>
      <c r="F29" s="183" t="s">
        <v>52</v>
      </c>
      <c r="G29" s="184"/>
      <c r="H29" s="185"/>
      <c r="I29" s="18"/>
      <c r="J29" s="18"/>
      <c r="K29" s="18"/>
      <c r="L29" s="18"/>
      <c r="M29" s="19"/>
      <c r="N29" s="20"/>
    </row>
    <row r="30" spans="1:14" s="41" customFormat="1" ht="12.75" customHeight="1" x14ac:dyDescent="0.25">
      <c r="A30" s="21" t="s">
        <v>21</v>
      </c>
      <c r="B30" s="22" t="s">
        <v>22</v>
      </c>
      <c r="C30" s="22" t="s">
        <v>23</v>
      </c>
      <c r="D30" s="23" t="s">
        <v>25</v>
      </c>
      <c r="F30" s="186"/>
      <c r="G30" s="187"/>
      <c r="H30" s="188"/>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31"/>
      <c r="J44" s="29"/>
      <c r="K44" s="29"/>
      <c r="L44" s="131"/>
      <c r="M44" s="30"/>
      <c r="N44" s="16"/>
    </row>
    <row r="45" spans="1:14" x14ac:dyDescent="0.3">
      <c r="A45" s="106"/>
      <c r="B45" s="107"/>
      <c r="C45" s="107"/>
      <c r="D45" s="114"/>
      <c r="F45" s="103"/>
      <c r="G45" s="104"/>
      <c r="H45" s="109"/>
      <c r="I45" s="131"/>
      <c r="J45" s="29"/>
      <c r="K45" s="29"/>
      <c r="L45" s="131"/>
      <c r="M45" s="30"/>
      <c r="N45" s="16"/>
    </row>
    <row r="46" spans="1:14" s="34" customFormat="1" x14ac:dyDescent="0.3">
      <c r="A46" s="178" t="s">
        <v>54</v>
      </c>
      <c r="B46" s="179"/>
      <c r="C46" s="179"/>
      <c r="D46" s="96">
        <f>SUM(Tree_100[Amount])</f>
        <v>0</v>
      </c>
      <c r="F46" s="173" t="s">
        <v>33</v>
      </c>
      <c r="G46" s="174"/>
      <c r="H46" s="174"/>
      <c r="I46" s="43"/>
      <c r="J46" s="43"/>
      <c r="K46" s="43"/>
      <c r="L46" s="43"/>
      <c r="M46" s="36"/>
      <c r="N46" s="37"/>
    </row>
    <row r="47" spans="1:14" s="40" customFormat="1" ht="11.1" customHeight="1" x14ac:dyDescent="0.3">
      <c r="A47" s="38"/>
      <c r="B47" s="38"/>
      <c r="C47" s="38"/>
      <c r="D47" s="39"/>
      <c r="F47" s="173"/>
      <c r="G47" s="174"/>
      <c r="H47" s="174"/>
      <c r="I47" s="43"/>
      <c r="J47" s="43"/>
      <c r="K47" s="43"/>
      <c r="L47" s="43"/>
      <c r="M47" s="36"/>
      <c r="N47" s="37"/>
    </row>
    <row r="48" spans="1:14" s="17" customFormat="1" ht="23.1" customHeight="1" x14ac:dyDescent="0.3">
      <c r="A48" s="191" t="s">
        <v>68</v>
      </c>
      <c r="B48" s="192"/>
      <c r="C48" s="192"/>
      <c r="D48" s="193"/>
      <c r="F48" s="183" t="s">
        <v>55</v>
      </c>
      <c r="G48" s="184"/>
      <c r="H48" s="185"/>
      <c r="I48" s="44"/>
      <c r="J48" s="44"/>
      <c r="K48" s="44"/>
      <c r="L48" s="44"/>
      <c r="M48" s="19"/>
      <c r="N48" s="20"/>
    </row>
    <row r="49" spans="1:14" s="41" customFormat="1" ht="12.75" customHeight="1" x14ac:dyDescent="0.25">
      <c r="A49" s="21" t="s">
        <v>21</v>
      </c>
      <c r="B49" s="22" t="s">
        <v>22</v>
      </c>
      <c r="C49" s="22" t="s">
        <v>23</v>
      </c>
      <c r="D49" s="23" t="s">
        <v>25</v>
      </c>
      <c r="F49" s="186"/>
      <c r="G49" s="187"/>
      <c r="H49" s="188"/>
      <c r="I49" s="131"/>
      <c r="J49" s="131"/>
      <c r="K49" s="131"/>
      <c r="L49" s="131"/>
      <c r="M49" s="30"/>
      <c r="N49" s="42"/>
    </row>
    <row r="50" spans="1:14" x14ac:dyDescent="0.3">
      <c r="A50" s="100"/>
      <c r="B50" s="101"/>
      <c r="C50" s="101"/>
      <c r="D50" s="112"/>
      <c r="F50" s="103"/>
      <c r="G50" s="104"/>
      <c r="H50" s="109"/>
      <c r="I50" s="131"/>
      <c r="J50" s="131"/>
      <c r="K50" s="131"/>
      <c r="L50" s="131"/>
      <c r="M50" s="30"/>
      <c r="N50" s="16"/>
    </row>
    <row r="51" spans="1:14" x14ac:dyDescent="0.3">
      <c r="A51" s="106"/>
      <c r="B51" s="107"/>
      <c r="C51" s="107"/>
      <c r="D51" s="113"/>
      <c r="F51" s="103"/>
      <c r="G51" s="104"/>
      <c r="H51" s="109"/>
      <c r="I51" s="131"/>
      <c r="J51" s="131"/>
      <c r="K51" s="131"/>
      <c r="L51" s="131"/>
      <c r="M51" s="30"/>
      <c r="N51" s="16"/>
    </row>
    <row r="52" spans="1:14" x14ac:dyDescent="0.3">
      <c r="A52" s="106"/>
      <c r="B52" s="107"/>
      <c r="C52" s="107"/>
      <c r="D52" s="114"/>
      <c r="F52" s="103"/>
      <c r="H52" s="109"/>
      <c r="I52" s="131"/>
      <c r="J52" s="131"/>
      <c r="K52" s="131"/>
      <c r="L52" s="131"/>
      <c r="M52" s="30"/>
      <c r="N52" s="16"/>
    </row>
    <row r="53" spans="1:14" x14ac:dyDescent="0.3">
      <c r="A53" s="106"/>
      <c r="B53" s="107"/>
      <c r="C53" s="107"/>
      <c r="D53" s="113"/>
      <c r="F53" s="103"/>
      <c r="G53" s="104"/>
      <c r="H53" s="109"/>
      <c r="I53" s="131"/>
      <c r="J53" s="131"/>
      <c r="K53" s="131"/>
      <c r="L53" s="131"/>
      <c r="M53" s="30"/>
      <c r="N53" s="16"/>
    </row>
    <row r="54" spans="1:14" x14ac:dyDescent="0.3">
      <c r="A54" s="106"/>
      <c r="B54" s="107"/>
      <c r="C54" s="107"/>
      <c r="D54" s="114"/>
      <c r="F54" s="103"/>
      <c r="G54" s="104"/>
      <c r="H54" s="109"/>
      <c r="I54" s="131"/>
      <c r="J54" s="131"/>
      <c r="K54" s="131"/>
      <c r="L54" s="131"/>
      <c r="M54" s="30"/>
      <c r="N54" s="16"/>
    </row>
    <row r="55" spans="1:14" x14ac:dyDescent="0.3">
      <c r="A55" s="106"/>
      <c r="B55" s="107"/>
      <c r="C55" s="107"/>
      <c r="D55" s="113"/>
      <c r="F55" s="103"/>
      <c r="G55" s="104"/>
      <c r="H55" s="109"/>
      <c r="I55" s="131"/>
      <c r="J55" s="131"/>
      <c r="K55" s="131"/>
      <c r="L55" s="131"/>
      <c r="M55" s="30"/>
      <c r="N55" s="16"/>
    </row>
    <row r="56" spans="1:14" x14ac:dyDescent="0.3">
      <c r="A56" s="106"/>
      <c r="B56" s="107"/>
      <c r="C56" s="107"/>
      <c r="D56" s="114"/>
      <c r="F56" s="103"/>
      <c r="G56" s="104"/>
      <c r="H56" s="109"/>
      <c r="I56" s="131"/>
      <c r="J56" s="131"/>
      <c r="K56" s="131"/>
      <c r="L56" s="131"/>
      <c r="M56" s="30"/>
      <c r="N56" s="16"/>
    </row>
    <row r="57" spans="1:14" x14ac:dyDescent="0.3">
      <c r="A57" s="106"/>
      <c r="B57" s="107"/>
      <c r="C57" s="107"/>
      <c r="D57" s="113"/>
      <c r="F57" s="103"/>
      <c r="G57" s="104"/>
      <c r="H57" s="109"/>
      <c r="I57" s="131"/>
      <c r="J57" s="131"/>
      <c r="K57" s="131"/>
      <c r="L57" s="131"/>
      <c r="M57" s="30"/>
      <c r="N57" s="16"/>
    </row>
    <row r="58" spans="1:14" x14ac:dyDescent="0.3">
      <c r="A58" s="106"/>
      <c r="B58" s="107"/>
      <c r="C58" s="107"/>
      <c r="D58" s="114"/>
      <c r="F58" s="103"/>
      <c r="G58" s="104"/>
      <c r="H58" s="109"/>
      <c r="I58" s="131"/>
      <c r="J58" s="131"/>
      <c r="K58" s="131"/>
      <c r="L58" s="131"/>
      <c r="M58" s="30"/>
      <c r="N58" s="16"/>
    </row>
    <row r="59" spans="1:14" x14ac:dyDescent="0.3">
      <c r="A59" s="106"/>
      <c r="B59" s="107"/>
      <c r="C59" s="107"/>
      <c r="D59" s="113"/>
      <c r="F59" s="103"/>
      <c r="G59" s="104"/>
      <c r="H59" s="109"/>
      <c r="I59" s="131"/>
      <c r="J59" s="190"/>
      <c r="K59" s="190"/>
      <c r="L59" s="131"/>
      <c r="M59" s="30"/>
      <c r="N59" s="16"/>
    </row>
    <row r="60" spans="1:14" x14ac:dyDescent="0.3">
      <c r="A60" s="106"/>
      <c r="B60" s="107"/>
      <c r="C60" s="107"/>
      <c r="D60" s="114"/>
      <c r="F60" s="103"/>
      <c r="G60" s="104"/>
      <c r="H60" s="109"/>
      <c r="I60" s="189"/>
      <c r="J60" s="189"/>
      <c r="K60" s="189"/>
      <c r="L60" s="189"/>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78" t="s">
        <v>56</v>
      </c>
      <c r="B65" s="179"/>
      <c r="C65" s="179"/>
      <c r="D65" s="96">
        <f>SUM(Pest_100[Amount])</f>
        <v>0</v>
      </c>
      <c r="F65" s="173" t="s">
        <v>33</v>
      </c>
      <c r="G65" s="174"/>
      <c r="H65" s="174"/>
    </row>
    <row r="66" spans="1:8" x14ac:dyDescent="0.3">
      <c r="F66" s="173"/>
      <c r="G66" s="174"/>
      <c r="H66" s="174"/>
    </row>
    <row r="67" spans="1:8" ht="17.399999999999999" x14ac:dyDescent="0.3">
      <c r="A67" s="198" t="s">
        <v>69</v>
      </c>
      <c r="B67" s="198"/>
      <c r="C67" s="198"/>
      <c r="D67" s="198"/>
      <c r="E67" s="17"/>
      <c r="F67" s="183" t="s">
        <v>57</v>
      </c>
      <c r="G67" s="184"/>
      <c r="H67" s="185"/>
    </row>
    <row r="68" spans="1:8" x14ac:dyDescent="0.3">
      <c r="A68" s="21" t="s">
        <v>21</v>
      </c>
      <c r="B68" s="22" t="s">
        <v>22</v>
      </c>
      <c r="C68" s="22" t="s">
        <v>23</v>
      </c>
      <c r="D68" s="23" t="s">
        <v>25</v>
      </c>
      <c r="E68" s="24"/>
      <c r="F68" s="186"/>
      <c r="G68" s="187"/>
      <c r="H68" s="188"/>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78" t="s">
        <v>58</v>
      </c>
      <c r="B84" s="179"/>
      <c r="C84" s="179"/>
      <c r="D84" s="96">
        <f>SUM(Garbage_100[Amount])</f>
        <v>0</v>
      </c>
      <c r="E84" s="34"/>
      <c r="F84" s="173" t="s">
        <v>33</v>
      </c>
      <c r="G84" s="174"/>
      <c r="H84" s="174"/>
    </row>
    <row r="85" spans="1:8" x14ac:dyDescent="0.3">
      <c r="A85" s="38"/>
      <c r="B85" s="38"/>
      <c r="C85" s="38"/>
      <c r="D85" s="39"/>
      <c r="E85" s="40"/>
      <c r="F85" s="173"/>
      <c r="G85" s="174"/>
      <c r="H85" s="174"/>
    </row>
    <row r="86" spans="1:8" ht="17.399999999999999" x14ac:dyDescent="0.3">
      <c r="A86" s="191" t="s">
        <v>59</v>
      </c>
      <c r="B86" s="192"/>
      <c r="C86" s="192"/>
      <c r="D86" s="193"/>
      <c r="E86" s="17"/>
      <c r="F86" s="183" t="s">
        <v>60</v>
      </c>
      <c r="G86" s="184"/>
      <c r="H86" s="185"/>
    </row>
    <row r="87" spans="1:8" x14ac:dyDescent="0.3">
      <c r="A87" s="21" t="s">
        <v>21</v>
      </c>
      <c r="B87" s="22" t="s">
        <v>22</v>
      </c>
      <c r="C87" s="22" t="s">
        <v>23</v>
      </c>
      <c r="D87" s="23" t="s">
        <v>25</v>
      </c>
      <c r="E87" s="41"/>
      <c r="F87" s="186"/>
      <c r="G87" s="187"/>
      <c r="H87" s="188"/>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78" t="s">
        <v>61</v>
      </c>
      <c r="B103" s="179"/>
      <c r="C103" s="179"/>
      <c r="D103" s="96">
        <f>SUM(Boarding_100[Amount])</f>
        <v>0</v>
      </c>
      <c r="E103" s="34"/>
      <c r="F103" s="173" t="s">
        <v>33</v>
      </c>
      <c r="G103" s="174"/>
      <c r="H103" s="174"/>
    </row>
    <row r="104" spans="1:8" x14ac:dyDescent="0.3">
      <c r="A104" s="38"/>
      <c r="B104" s="38"/>
      <c r="C104" s="38"/>
      <c r="D104" s="39"/>
      <c r="E104" s="40"/>
      <c r="F104" s="173"/>
      <c r="G104" s="174"/>
      <c r="H104" s="174"/>
    </row>
    <row r="105" spans="1:8" ht="17.399999999999999" x14ac:dyDescent="0.3">
      <c r="A105" s="191" t="s">
        <v>70</v>
      </c>
      <c r="B105" s="192"/>
      <c r="C105" s="192"/>
      <c r="D105" s="193"/>
      <c r="E105" s="17"/>
      <c r="F105" s="183" t="s">
        <v>62</v>
      </c>
      <c r="G105" s="184"/>
      <c r="H105" s="185"/>
    </row>
    <row r="106" spans="1:8" x14ac:dyDescent="0.3">
      <c r="A106" s="21" t="s">
        <v>21</v>
      </c>
      <c r="B106" s="22" t="s">
        <v>22</v>
      </c>
      <c r="C106" s="22" t="s">
        <v>23</v>
      </c>
      <c r="D106" s="23" t="s">
        <v>25</v>
      </c>
      <c r="E106" s="41"/>
      <c r="F106" s="186"/>
      <c r="G106" s="187"/>
      <c r="H106" s="188"/>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78" t="s">
        <v>63</v>
      </c>
      <c r="B122" s="179"/>
      <c r="C122" s="179"/>
      <c r="D122" s="96">
        <f>SUM(Fence_100[Amount])</f>
        <v>0</v>
      </c>
      <c r="E122" s="34"/>
      <c r="F122" s="173" t="s">
        <v>33</v>
      </c>
      <c r="G122" s="174"/>
      <c r="H122" s="174"/>
    </row>
    <row r="123" spans="1:8" x14ac:dyDescent="0.3">
      <c r="F123" s="173"/>
      <c r="G123" s="174"/>
      <c r="H123" s="174"/>
    </row>
    <row r="124" spans="1:8" ht="17.399999999999999" x14ac:dyDescent="0.3">
      <c r="A124" s="191" t="s">
        <v>26</v>
      </c>
      <c r="B124" s="192"/>
      <c r="C124" s="192"/>
      <c r="D124" s="193"/>
      <c r="E124" s="17"/>
      <c r="F124" s="183" t="s">
        <v>11</v>
      </c>
      <c r="G124" s="184"/>
      <c r="H124" s="185"/>
    </row>
    <row r="125" spans="1:8" x14ac:dyDescent="0.3">
      <c r="A125" s="21" t="s">
        <v>21</v>
      </c>
      <c r="B125" s="22" t="s">
        <v>22</v>
      </c>
      <c r="C125" s="22" t="s">
        <v>23</v>
      </c>
      <c r="D125" s="23" t="s">
        <v>25</v>
      </c>
      <c r="E125" s="41"/>
      <c r="F125" s="186"/>
      <c r="G125" s="187"/>
      <c r="H125" s="188"/>
    </row>
    <row r="126" spans="1:8" x14ac:dyDescent="0.3">
      <c r="A126" s="100"/>
      <c r="B126" s="101"/>
      <c r="C126" s="101"/>
      <c r="D126" s="112">
        <v>27010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78" t="s">
        <v>27</v>
      </c>
      <c r="B141" s="179"/>
      <c r="C141" s="179"/>
      <c r="D141" s="96">
        <f>SUM(Demolition_100[Amount])</f>
        <v>27010</v>
      </c>
      <c r="E141" s="34"/>
      <c r="F141" s="173" t="s">
        <v>33</v>
      </c>
      <c r="G141" s="174"/>
      <c r="H141" s="174"/>
    </row>
    <row r="142" spans="1:8" x14ac:dyDescent="0.3">
      <c r="A142" s="38"/>
      <c r="B142" s="38"/>
      <c r="C142" s="38"/>
      <c r="D142" s="39"/>
      <c r="E142" s="40"/>
      <c r="F142" s="173"/>
      <c r="G142" s="174"/>
      <c r="H142" s="174"/>
    </row>
    <row r="143" spans="1:8" ht="17.399999999999999" x14ac:dyDescent="0.3">
      <c r="A143" s="191" t="s">
        <v>64</v>
      </c>
      <c r="B143" s="192"/>
      <c r="C143" s="192"/>
      <c r="D143" s="193"/>
      <c r="E143" s="17"/>
      <c r="F143" s="183" t="s">
        <v>44</v>
      </c>
      <c r="G143" s="184"/>
      <c r="H143" s="185"/>
    </row>
    <row r="144" spans="1:8" x14ac:dyDescent="0.3">
      <c r="A144" s="21" t="s">
        <v>21</v>
      </c>
      <c r="B144" s="22" t="s">
        <v>22</v>
      </c>
      <c r="C144" s="22" t="s">
        <v>23</v>
      </c>
      <c r="D144" s="23" t="s">
        <v>25</v>
      </c>
      <c r="E144" s="41"/>
      <c r="F144" s="186"/>
      <c r="G144" s="187"/>
      <c r="H144" s="188"/>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78" t="s">
        <v>65</v>
      </c>
      <c r="B160" s="179"/>
      <c r="C160" s="179"/>
      <c r="D160" s="96">
        <f>SUM(Rehab_100[Amount])</f>
        <v>0</v>
      </c>
      <c r="E160" s="34"/>
      <c r="F160" s="173" t="s">
        <v>33</v>
      </c>
      <c r="G160" s="174"/>
      <c r="H160" s="174"/>
    </row>
    <row r="161" spans="6:8" x14ac:dyDescent="0.3">
      <c r="F161" s="173"/>
      <c r="G161" s="174"/>
      <c r="H161" s="174"/>
    </row>
  </sheetData>
  <sheetProtection algorithmName="SHA-512" hashValue="o7F1xvop1ZOlnxn8jrOM33NpvGd//FsWu9Ib+nGaU+jQ/Ul04G6VZAfoXQsW4n9v7sxzr0wfErTM6LwvC6OHdg==" saltValue="w9L4h5vsDSs0cHWwGQiFMA=="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N161"/>
  <sheetViews>
    <sheetView showGridLines="0" zoomScaleNormal="100" workbookViewId="0">
      <pane ySplit="9" topLeftCell="A115" activePane="bottomLeft" state="frozen"/>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5" t="s">
        <v>24</v>
      </c>
      <c r="B1" s="175"/>
      <c r="C1" s="175"/>
      <c r="D1" s="175"/>
      <c r="E1" s="1"/>
      <c r="F1" s="2"/>
      <c r="G1" s="2"/>
      <c r="H1" s="1"/>
    </row>
    <row r="2" spans="1:14" ht="24.9" customHeight="1" x14ac:dyDescent="0.3">
      <c r="A2" s="176" t="s">
        <v>71</v>
      </c>
      <c r="B2" s="176"/>
      <c r="C2" s="176"/>
      <c r="D2" s="176"/>
      <c r="E2" s="4"/>
      <c r="F2" s="90"/>
      <c r="G2" s="90"/>
      <c r="H2" s="5"/>
    </row>
    <row r="3" spans="1:14" ht="31.5" customHeight="1" x14ac:dyDescent="0.3">
      <c r="A3" s="176"/>
      <c r="B3" s="176"/>
      <c r="C3" s="176"/>
      <c r="D3" s="176"/>
      <c r="E3" s="4"/>
      <c r="F3" s="90"/>
      <c r="G3" s="90"/>
      <c r="H3" s="5"/>
    </row>
    <row r="4" spans="1:14" ht="15" customHeight="1" x14ac:dyDescent="0.25">
      <c r="A4" s="75" t="s">
        <v>19</v>
      </c>
      <c r="B4" s="194" t="str">
        <f>IF('Summary Sheet'!B42="","",'Summary Sheet'!B42)</f>
        <v>131 W 114TH ST</v>
      </c>
      <c r="C4" s="194"/>
      <c r="D4" s="90"/>
      <c r="E4" s="4"/>
      <c r="F4" s="90"/>
      <c r="G4" s="90"/>
      <c r="H4" s="5"/>
    </row>
    <row r="5" spans="1:14" ht="15" customHeight="1" x14ac:dyDescent="0.25">
      <c r="A5" s="75" t="s">
        <v>20</v>
      </c>
      <c r="B5" s="195" t="str">
        <f>IF('Summary Sheet'!C42="","",'Summary Sheet'!C42)</f>
        <v/>
      </c>
      <c r="C5" s="195"/>
      <c r="D5" s="90"/>
      <c r="E5" s="4"/>
      <c r="F5" s="90"/>
      <c r="G5" s="90"/>
      <c r="H5" s="5"/>
    </row>
    <row r="6" spans="1:14" ht="15" customHeight="1" x14ac:dyDescent="0.25">
      <c r="A6" s="75" t="s">
        <v>36</v>
      </c>
      <c r="B6" s="177"/>
      <c r="C6" s="177"/>
      <c r="D6" s="6"/>
      <c r="E6" s="7"/>
    </row>
    <row r="7" spans="1:14" ht="15" customHeight="1" x14ac:dyDescent="0.25">
      <c r="A7" s="7"/>
      <c r="B7" s="196" t="s">
        <v>34</v>
      </c>
      <c r="C7" s="196"/>
      <c r="D7" s="10"/>
    </row>
    <row r="8" spans="1:14" ht="20.100000000000001" customHeight="1" x14ac:dyDescent="0.25">
      <c r="B8" s="11"/>
      <c r="C8" s="11"/>
      <c r="D8" s="12" t="s">
        <v>31</v>
      </c>
      <c r="F8" s="180" t="s">
        <v>32</v>
      </c>
      <c r="G8" s="181"/>
      <c r="H8" s="182"/>
    </row>
    <row r="9" spans="1:14" s="14" customFormat="1" ht="20.100000000000001" customHeight="1" x14ac:dyDescent="0.25">
      <c r="A9" s="197"/>
      <c r="B9" s="197"/>
      <c r="C9" s="197"/>
      <c r="D9" s="13">
        <f>SUM(D27,D46,D65,D84,D103,D122,D141,D160)</f>
        <v>16710</v>
      </c>
      <c r="F9" s="15" t="s">
        <v>28</v>
      </c>
      <c r="G9" s="15" t="s">
        <v>29</v>
      </c>
      <c r="H9" s="15" t="s">
        <v>30</v>
      </c>
      <c r="I9" s="16"/>
      <c r="J9" s="16"/>
      <c r="K9" s="16"/>
      <c r="L9" s="16"/>
      <c r="M9" s="16"/>
      <c r="N9" s="16"/>
    </row>
    <row r="10" spans="1:14" s="17" customFormat="1" ht="23.1" customHeight="1" x14ac:dyDescent="0.3">
      <c r="A10" s="198" t="s">
        <v>51</v>
      </c>
      <c r="B10" s="198"/>
      <c r="C10" s="198"/>
      <c r="D10" s="198"/>
      <c r="F10" s="183" t="s">
        <v>66</v>
      </c>
      <c r="G10" s="184"/>
      <c r="H10" s="185"/>
      <c r="I10" s="18"/>
      <c r="J10" s="18"/>
      <c r="K10" s="18"/>
      <c r="L10" s="18"/>
      <c r="M10" s="19"/>
      <c r="N10" s="20"/>
    </row>
    <row r="11" spans="1:14" s="24" customFormat="1" ht="12.75" customHeight="1" x14ac:dyDescent="0.25">
      <c r="A11" s="21" t="s">
        <v>21</v>
      </c>
      <c r="B11" s="22" t="s">
        <v>22</v>
      </c>
      <c r="C11" s="22" t="s">
        <v>23</v>
      </c>
      <c r="D11" s="23" t="s">
        <v>25</v>
      </c>
      <c r="F11" s="186"/>
      <c r="G11" s="187"/>
      <c r="H11" s="188"/>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78" t="s">
        <v>53</v>
      </c>
      <c r="B27" s="179"/>
      <c r="C27" s="179"/>
      <c r="D27" s="96">
        <f>SUM(Grass_10[Amount])</f>
        <v>0</v>
      </c>
      <c r="F27" s="173" t="s">
        <v>33</v>
      </c>
      <c r="G27" s="174"/>
      <c r="H27" s="174"/>
      <c r="I27" s="35"/>
      <c r="J27" s="35"/>
      <c r="K27" s="35"/>
      <c r="L27" s="35"/>
      <c r="M27" s="36"/>
      <c r="N27" s="37"/>
    </row>
    <row r="28" spans="1:14" s="40" customFormat="1" ht="11.1" customHeight="1" x14ac:dyDescent="0.3">
      <c r="A28" s="38"/>
      <c r="B28" s="38"/>
      <c r="C28" s="38"/>
      <c r="D28" s="39"/>
      <c r="F28" s="173"/>
      <c r="G28" s="174"/>
      <c r="H28" s="174"/>
      <c r="I28" s="35"/>
      <c r="J28" s="35"/>
      <c r="K28" s="35"/>
      <c r="L28" s="35"/>
      <c r="M28" s="36"/>
      <c r="N28" s="37"/>
    </row>
    <row r="29" spans="1:14" s="17" customFormat="1" ht="23.1" customHeight="1" x14ac:dyDescent="0.3">
      <c r="A29" s="191" t="s">
        <v>67</v>
      </c>
      <c r="B29" s="192"/>
      <c r="C29" s="192"/>
      <c r="D29" s="193"/>
      <c r="F29" s="183" t="s">
        <v>52</v>
      </c>
      <c r="G29" s="184"/>
      <c r="H29" s="185"/>
      <c r="I29" s="18"/>
      <c r="J29" s="18"/>
      <c r="K29" s="18"/>
      <c r="L29" s="18"/>
      <c r="M29" s="19"/>
      <c r="N29" s="20"/>
    </row>
    <row r="30" spans="1:14" s="41" customFormat="1" ht="12.75" customHeight="1" x14ac:dyDescent="0.25">
      <c r="A30" s="21" t="s">
        <v>21</v>
      </c>
      <c r="B30" s="22" t="s">
        <v>22</v>
      </c>
      <c r="C30" s="22" t="s">
        <v>23</v>
      </c>
      <c r="D30" s="23" t="s">
        <v>25</v>
      </c>
      <c r="F30" s="186"/>
      <c r="G30" s="187"/>
      <c r="H30" s="188"/>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89"/>
      <c r="J44" s="29"/>
      <c r="K44" s="29"/>
      <c r="L44" s="89"/>
      <c r="M44" s="30"/>
      <c r="N44" s="16"/>
    </row>
    <row r="45" spans="1:14" x14ac:dyDescent="0.3">
      <c r="A45" s="106"/>
      <c r="B45" s="107"/>
      <c r="C45" s="107"/>
      <c r="D45" s="114"/>
      <c r="F45" s="103"/>
      <c r="G45" s="104"/>
      <c r="H45" s="109"/>
      <c r="I45" s="89"/>
      <c r="J45" s="29"/>
      <c r="K45" s="29"/>
      <c r="L45" s="89"/>
      <c r="M45" s="30"/>
      <c r="N45" s="16"/>
    </row>
    <row r="46" spans="1:14" s="34" customFormat="1" x14ac:dyDescent="0.3">
      <c r="A46" s="178" t="s">
        <v>54</v>
      </c>
      <c r="B46" s="179"/>
      <c r="C46" s="179"/>
      <c r="D46" s="96">
        <f>SUM(Tree_10[Amount])</f>
        <v>0</v>
      </c>
      <c r="F46" s="173" t="s">
        <v>33</v>
      </c>
      <c r="G46" s="174"/>
      <c r="H46" s="174"/>
      <c r="I46" s="43"/>
      <c r="J46" s="43"/>
      <c r="K46" s="43"/>
      <c r="L46" s="43"/>
      <c r="M46" s="36"/>
      <c r="N46" s="37"/>
    </row>
    <row r="47" spans="1:14" s="40" customFormat="1" ht="11.1" customHeight="1" x14ac:dyDescent="0.3">
      <c r="A47" s="38"/>
      <c r="B47" s="38"/>
      <c r="C47" s="38"/>
      <c r="D47" s="39"/>
      <c r="F47" s="173"/>
      <c r="G47" s="174"/>
      <c r="H47" s="174"/>
      <c r="I47" s="43"/>
      <c r="J47" s="43"/>
      <c r="K47" s="43"/>
      <c r="L47" s="43"/>
      <c r="M47" s="36"/>
      <c r="N47" s="37"/>
    </row>
    <row r="48" spans="1:14" s="17" customFormat="1" ht="23.1" customHeight="1" x14ac:dyDescent="0.3">
      <c r="A48" s="191" t="s">
        <v>68</v>
      </c>
      <c r="B48" s="192"/>
      <c r="C48" s="192"/>
      <c r="D48" s="193"/>
      <c r="F48" s="183" t="s">
        <v>55</v>
      </c>
      <c r="G48" s="184"/>
      <c r="H48" s="185"/>
      <c r="I48" s="44"/>
      <c r="J48" s="44"/>
      <c r="K48" s="44"/>
      <c r="L48" s="44"/>
      <c r="M48" s="19"/>
      <c r="N48" s="20"/>
    </row>
    <row r="49" spans="1:14" s="41" customFormat="1" ht="12.75" customHeight="1" x14ac:dyDescent="0.25">
      <c r="A49" s="21" t="s">
        <v>21</v>
      </c>
      <c r="B49" s="22" t="s">
        <v>22</v>
      </c>
      <c r="C49" s="22" t="s">
        <v>23</v>
      </c>
      <c r="D49" s="23" t="s">
        <v>25</v>
      </c>
      <c r="F49" s="186"/>
      <c r="G49" s="187"/>
      <c r="H49" s="188"/>
      <c r="I49" s="89"/>
      <c r="J49" s="89"/>
      <c r="K49" s="89"/>
      <c r="L49" s="89"/>
      <c r="M49" s="30"/>
      <c r="N49" s="42"/>
    </row>
    <row r="50" spans="1:14" x14ac:dyDescent="0.3">
      <c r="A50" s="100"/>
      <c r="B50" s="101"/>
      <c r="C50" s="101"/>
      <c r="D50" s="112"/>
      <c r="F50" s="103"/>
      <c r="G50" s="104"/>
      <c r="H50" s="109"/>
      <c r="I50" s="89"/>
      <c r="J50" s="89"/>
      <c r="K50" s="89"/>
      <c r="L50" s="89"/>
      <c r="M50" s="30"/>
      <c r="N50" s="16"/>
    </row>
    <row r="51" spans="1:14" x14ac:dyDescent="0.3">
      <c r="A51" s="106"/>
      <c r="B51" s="107"/>
      <c r="C51" s="107"/>
      <c r="D51" s="113"/>
      <c r="F51" s="103"/>
      <c r="G51" s="104"/>
      <c r="H51" s="109"/>
      <c r="I51" s="89"/>
      <c r="J51" s="89"/>
      <c r="K51" s="89"/>
      <c r="L51" s="89"/>
      <c r="M51" s="30"/>
      <c r="N51" s="16"/>
    </row>
    <row r="52" spans="1:14" x14ac:dyDescent="0.3">
      <c r="A52" s="106"/>
      <c r="B52" s="107"/>
      <c r="C52" s="107"/>
      <c r="D52" s="114"/>
      <c r="F52" s="103"/>
      <c r="H52" s="109"/>
      <c r="I52" s="89"/>
      <c r="J52" s="89"/>
      <c r="K52" s="89"/>
      <c r="L52" s="89"/>
      <c r="M52" s="30"/>
      <c r="N52" s="16"/>
    </row>
    <row r="53" spans="1:14" x14ac:dyDescent="0.3">
      <c r="A53" s="106"/>
      <c r="B53" s="107"/>
      <c r="C53" s="107"/>
      <c r="D53" s="113"/>
      <c r="F53" s="103"/>
      <c r="G53" s="104"/>
      <c r="H53" s="109"/>
      <c r="I53" s="89"/>
      <c r="J53" s="89"/>
      <c r="K53" s="89"/>
      <c r="L53" s="89"/>
      <c r="M53" s="30"/>
      <c r="N53" s="16"/>
    </row>
    <row r="54" spans="1:14" x14ac:dyDescent="0.3">
      <c r="A54" s="106"/>
      <c r="B54" s="107"/>
      <c r="C54" s="107"/>
      <c r="D54" s="114"/>
      <c r="F54" s="103"/>
      <c r="G54" s="104"/>
      <c r="H54" s="109"/>
      <c r="I54" s="89"/>
      <c r="J54" s="89"/>
      <c r="K54" s="89"/>
      <c r="L54" s="89"/>
      <c r="M54" s="30"/>
      <c r="N54" s="16"/>
    </row>
    <row r="55" spans="1:14" x14ac:dyDescent="0.3">
      <c r="A55" s="106"/>
      <c r="B55" s="107"/>
      <c r="C55" s="107"/>
      <c r="D55" s="113"/>
      <c r="F55" s="103"/>
      <c r="G55" s="104"/>
      <c r="H55" s="109"/>
      <c r="I55" s="89"/>
      <c r="J55" s="89"/>
      <c r="K55" s="89"/>
      <c r="L55" s="89"/>
      <c r="M55" s="30"/>
      <c r="N55" s="16"/>
    </row>
    <row r="56" spans="1:14" x14ac:dyDescent="0.3">
      <c r="A56" s="106"/>
      <c r="B56" s="107"/>
      <c r="C56" s="107"/>
      <c r="D56" s="114"/>
      <c r="F56" s="103"/>
      <c r="G56" s="104"/>
      <c r="H56" s="109"/>
      <c r="I56" s="89"/>
      <c r="J56" s="89"/>
      <c r="K56" s="89"/>
      <c r="L56" s="89"/>
      <c r="M56" s="30"/>
      <c r="N56" s="16"/>
    </row>
    <row r="57" spans="1:14" x14ac:dyDescent="0.3">
      <c r="A57" s="106"/>
      <c r="B57" s="107"/>
      <c r="C57" s="107"/>
      <c r="D57" s="113"/>
      <c r="F57" s="103"/>
      <c r="G57" s="104"/>
      <c r="H57" s="109"/>
      <c r="I57" s="89"/>
      <c r="J57" s="89"/>
      <c r="K57" s="89"/>
      <c r="L57" s="89"/>
      <c r="M57" s="30"/>
      <c r="N57" s="16"/>
    </row>
    <row r="58" spans="1:14" x14ac:dyDescent="0.3">
      <c r="A58" s="106"/>
      <c r="B58" s="107"/>
      <c r="C58" s="107"/>
      <c r="D58" s="114"/>
      <c r="F58" s="103"/>
      <c r="G58" s="104"/>
      <c r="H58" s="109"/>
      <c r="I58" s="89"/>
      <c r="J58" s="89"/>
      <c r="K58" s="89"/>
      <c r="L58" s="89"/>
      <c r="M58" s="30"/>
      <c r="N58" s="16"/>
    </row>
    <row r="59" spans="1:14" x14ac:dyDescent="0.3">
      <c r="A59" s="106"/>
      <c r="B59" s="107"/>
      <c r="C59" s="107"/>
      <c r="D59" s="113"/>
      <c r="F59" s="103"/>
      <c r="G59" s="104"/>
      <c r="H59" s="109"/>
      <c r="I59" s="89"/>
      <c r="J59" s="190"/>
      <c r="K59" s="190"/>
      <c r="L59" s="89"/>
      <c r="M59" s="30"/>
      <c r="N59" s="16"/>
    </row>
    <row r="60" spans="1:14" x14ac:dyDescent="0.3">
      <c r="A60" s="106"/>
      <c r="B60" s="107"/>
      <c r="C60" s="107"/>
      <c r="D60" s="114"/>
      <c r="F60" s="103"/>
      <c r="G60" s="104"/>
      <c r="H60" s="109"/>
      <c r="I60" s="189"/>
      <c r="J60" s="189"/>
      <c r="K60" s="189"/>
      <c r="L60" s="189"/>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78" t="s">
        <v>56</v>
      </c>
      <c r="B65" s="179"/>
      <c r="C65" s="179"/>
      <c r="D65" s="96">
        <f>SUM(Pest_10[Amount])</f>
        <v>0</v>
      </c>
      <c r="F65" s="173" t="s">
        <v>33</v>
      </c>
      <c r="G65" s="174"/>
      <c r="H65" s="174"/>
    </row>
    <row r="66" spans="1:8" x14ac:dyDescent="0.3">
      <c r="F66" s="173"/>
      <c r="G66" s="174"/>
      <c r="H66" s="174"/>
    </row>
    <row r="67" spans="1:8" ht="17.399999999999999" x14ac:dyDescent="0.3">
      <c r="A67" s="198" t="s">
        <v>69</v>
      </c>
      <c r="B67" s="198"/>
      <c r="C67" s="198"/>
      <c r="D67" s="198"/>
      <c r="E67" s="17"/>
      <c r="F67" s="183" t="s">
        <v>57</v>
      </c>
      <c r="G67" s="184"/>
      <c r="H67" s="185"/>
    </row>
    <row r="68" spans="1:8" x14ac:dyDescent="0.3">
      <c r="A68" s="21" t="s">
        <v>21</v>
      </c>
      <c r="B68" s="22" t="s">
        <v>22</v>
      </c>
      <c r="C68" s="22" t="s">
        <v>23</v>
      </c>
      <c r="D68" s="23" t="s">
        <v>25</v>
      </c>
      <c r="E68" s="24"/>
      <c r="F68" s="186"/>
      <c r="G68" s="187"/>
      <c r="H68" s="188"/>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78" t="s">
        <v>58</v>
      </c>
      <c r="B84" s="179"/>
      <c r="C84" s="179"/>
      <c r="D84" s="96">
        <f>SUM(Garbage_10[Amount])</f>
        <v>0</v>
      </c>
      <c r="E84" s="34"/>
      <c r="F84" s="173" t="s">
        <v>33</v>
      </c>
      <c r="G84" s="174"/>
      <c r="H84" s="174"/>
    </row>
    <row r="85" spans="1:8" x14ac:dyDescent="0.3">
      <c r="A85" s="38"/>
      <c r="B85" s="38"/>
      <c r="C85" s="38"/>
      <c r="D85" s="39"/>
      <c r="E85" s="40"/>
      <c r="F85" s="173"/>
      <c r="G85" s="174"/>
      <c r="H85" s="174"/>
    </row>
    <row r="86" spans="1:8" ht="17.399999999999999" x14ac:dyDescent="0.3">
      <c r="A86" s="191" t="s">
        <v>59</v>
      </c>
      <c r="B86" s="192"/>
      <c r="C86" s="192"/>
      <c r="D86" s="193"/>
      <c r="E86" s="17"/>
      <c r="F86" s="183" t="s">
        <v>60</v>
      </c>
      <c r="G86" s="184"/>
      <c r="H86" s="185"/>
    </row>
    <row r="87" spans="1:8" x14ac:dyDescent="0.3">
      <c r="A87" s="21" t="s">
        <v>21</v>
      </c>
      <c r="B87" s="22" t="s">
        <v>22</v>
      </c>
      <c r="C87" s="22" t="s">
        <v>23</v>
      </c>
      <c r="D87" s="23" t="s">
        <v>25</v>
      </c>
      <c r="E87" s="41"/>
      <c r="F87" s="186"/>
      <c r="G87" s="187"/>
      <c r="H87" s="188"/>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78" t="s">
        <v>61</v>
      </c>
      <c r="B103" s="179"/>
      <c r="C103" s="179"/>
      <c r="D103" s="96">
        <f>SUM(Boarding_10[Amount])</f>
        <v>0</v>
      </c>
      <c r="E103" s="34"/>
      <c r="F103" s="173" t="s">
        <v>33</v>
      </c>
      <c r="G103" s="174"/>
      <c r="H103" s="174"/>
    </row>
    <row r="104" spans="1:8" x14ac:dyDescent="0.3">
      <c r="A104" s="38"/>
      <c r="B104" s="38"/>
      <c r="C104" s="38"/>
      <c r="D104" s="39"/>
      <c r="E104" s="40"/>
      <c r="F104" s="173"/>
      <c r="G104" s="174"/>
      <c r="H104" s="174"/>
    </row>
    <row r="105" spans="1:8" ht="17.399999999999999" x14ac:dyDescent="0.3">
      <c r="A105" s="191" t="s">
        <v>70</v>
      </c>
      <c r="B105" s="192"/>
      <c r="C105" s="192"/>
      <c r="D105" s="193"/>
      <c r="E105" s="17"/>
      <c r="F105" s="183" t="s">
        <v>62</v>
      </c>
      <c r="G105" s="184"/>
      <c r="H105" s="185"/>
    </row>
    <row r="106" spans="1:8" x14ac:dyDescent="0.3">
      <c r="A106" s="21" t="s">
        <v>21</v>
      </c>
      <c r="B106" s="22" t="s">
        <v>22</v>
      </c>
      <c r="C106" s="22" t="s">
        <v>23</v>
      </c>
      <c r="D106" s="23" t="s">
        <v>25</v>
      </c>
      <c r="E106" s="41"/>
      <c r="F106" s="186"/>
      <c r="G106" s="187"/>
      <c r="H106" s="188"/>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78" t="s">
        <v>63</v>
      </c>
      <c r="B122" s="179"/>
      <c r="C122" s="179"/>
      <c r="D122" s="96">
        <f>SUM(Fence_10[Amount])</f>
        <v>0</v>
      </c>
      <c r="E122" s="34"/>
      <c r="F122" s="173" t="s">
        <v>33</v>
      </c>
      <c r="G122" s="174"/>
      <c r="H122" s="174"/>
    </row>
    <row r="123" spans="1:8" x14ac:dyDescent="0.3">
      <c r="F123" s="173"/>
      <c r="G123" s="174"/>
      <c r="H123" s="174"/>
    </row>
    <row r="124" spans="1:8" ht="17.399999999999999" x14ac:dyDescent="0.3">
      <c r="A124" s="191" t="s">
        <v>26</v>
      </c>
      <c r="B124" s="192"/>
      <c r="C124" s="192"/>
      <c r="D124" s="193"/>
      <c r="E124" s="17"/>
      <c r="F124" s="183" t="s">
        <v>11</v>
      </c>
      <c r="G124" s="184"/>
      <c r="H124" s="185"/>
    </row>
    <row r="125" spans="1:8" x14ac:dyDescent="0.3">
      <c r="A125" s="21" t="s">
        <v>21</v>
      </c>
      <c r="B125" s="22" t="s">
        <v>22</v>
      </c>
      <c r="C125" s="22" t="s">
        <v>23</v>
      </c>
      <c r="D125" s="23" t="s">
        <v>25</v>
      </c>
      <c r="E125" s="41"/>
      <c r="F125" s="186"/>
      <c r="G125" s="187"/>
      <c r="H125" s="188"/>
    </row>
    <row r="126" spans="1:8" x14ac:dyDescent="0.3">
      <c r="A126" s="100"/>
      <c r="B126" s="101"/>
      <c r="C126" s="101"/>
      <c r="D126" s="149">
        <v>16710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78" t="s">
        <v>27</v>
      </c>
      <c r="B141" s="179"/>
      <c r="C141" s="179"/>
      <c r="D141" s="96">
        <f>SUM(Demolition_10[Amount])</f>
        <v>16710</v>
      </c>
      <c r="E141" s="34"/>
      <c r="F141" s="173" t="s">
        <v>33</v>
      </c>
      <c r="G141" s="174"/>
      <c r="H141" s="174"/>
    </row>
    <row r="142" spans="1:8" x14ac:dyDescent="0.3">
      <c r="A142" s="38"/>
      <c r="B142" s="38"/>
      <c r="C142" s="38"/>
      <c r="D142" s="39"/>
      <c r="E142" s="40"/>
      <c r="F142" s="173"/>
      <c r="G142" s="174"/>
      <c r="H142" s="174"/>
    </row>
    <row r="143" spans="1:8" ht="17.399999999999999" x14ac:dyDescent="0.3">
      <c r="A143" s="191" t="s">
        <v>64</v>
      </c>
      <c r="B143" s="192"/>
      <c r="C143" s="192"/>
      <c r="D143" s="193"/>
      <c r="E143" s="17"/>
      <c r="F143" s="183" t="s">
        <v>44</v>
      </c>
      <c r="G143" s="184"/>
      <c r="H143" s="185"/>
    </row>
    <row r="144" spans="1:8" x14ac:dyDescent="0.3">
      <c r="A144" s="21" t="s">
        <v>21</v>
      </c>
      <c r="B144" s="22" t="s">
        <v>22</v>
      </c>
      <c r="C144" s="22" t="s">
        <v>23</v>
      </c>
      <c r="D144" s="23" t="s">
        <v>25</v>
      </c>
      <c r="E144" s="41"/>
      <c r="F144" s="186"/>
      <c r="G144" s="187"/>
      <c r="H144" s="188"/>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78" t="s">
        <v>65</v>
      </c>
      <c r="B160" s="179"/>
      <c r="C160" s="179"/>
      <c r="D160" s="96">
        <f>SUM(Rehab_10[Amount])</f>
        <v>0</v>
      </c>
      <c r="E160" s="34"/>
      <c r="F160" s="173" t="s">
        <v>33</v>
      </c>
      <c r="G160" s="174"/>
      <c r="H160" s="174"/>
    </row>
    <row r="161" spans="6:8" x14ac:dyDescent="0.3">
      <c r="F161" s="173"/>
      <c r="G161" s="174"/>
      <c r="H161" s="174"/>
    </row>
  </sheetData>
  <sheetProtection algorithmName="SHA-512" hashValue="M+McNSUBxN+Ukz/kq0DuxutDByn+o+FHCmaIZc3+dprjF/8ILabM2LxDuUoZR0G4SAfN5IbaD8dqJOGttVrMFA==" saltValue="TTFRECLe/ujm/2rDyKCJcw=="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N161"/>
  <sheetViews>
    <sheetView showGridLines="0" zoomScaleNormal="100" workbookViewId="0">
      <pane ySplit="9" topLeftCell="A115" activePane="bottomLeft" state="frozen"/>
      <selection activeCell="D5" sqref="D5"/>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5" t="s">
        <v>24</v>
      </c>
      <c r="B1" s="175"/>
      <c r="C1" s="175"/>
      <c r="D1" s="175"/>
      <c r="E1" s="1"/>
      <c r="F1" s="2"/>
      <c r="G1" s="2"/>
      <c r="H1" s="1"/>
    </row>
    <row r="2" spans="1:14" ht="24.9" customHeight="1" x14ac:dyDescent="0.3">
      <c r="A2" s="176" t="s">
        <v>71</v>
      </c>
      <c r="B2" s="176"/>
      <c r="C2" s="176"/>
      <c r="D2" s="176"/>
      <c r="E2" s="4"/>
      <c r="F2" s="97"/>
      <c r="G2" s="97"/>
      <c r="H2" s="5"/>
    </row>
    <row r="3" spans="1:14" ht="31.5" customHeight="1" x14ac:dyDescent="0.3">
      <c r="A3" s="176"/>
      <c r="B3" s="176"/>
      <c r="C3" s="176"/>
      <c r="D3" s="176"/>
      <c r="E3" s="4"/>
      <c r="F3" s="97"/>
      <c r="G3" s="97"/>
      <c r="H3" s="5"/>
    </row>
    <row r="4" spans="1:14" ht="15" customHeight="1" x14ac:dyDescent="0.25">
      <c r="A4" s="75" t="s">
        <v>19</v>
      </c>
      <c r="B4" s="194" t="str">
        <f>IF('Summary Sheet'!B43="","",'Summary Sheet'!B43)</f>
        <v>1327 W 49TH PL</v>
      </c>
      <c r="C4" s="194"/>
      <c r="D4" s="97"/>
      <c r="E4" s="4"/>
      <c r="F4" s="97"/>
      <c r="G4" s="97"/>
      <c r="H4" s="5"/>
    </row>
    <row r="5" spans="1:14" ht="15" customHeight="1" x14ac:dyDescent="0.25">
      <c r="A5" s="75" t="s">
        <v>20</v>
      </c>
      <c r="B5" s="195" t="str">
        <f>IF('Summary Sheet'!C43="","",'Summary Sheet'!C43)</f>
        <v/>
      </c>
      <c r="C5" s="195"/>
      <c r="D5" s="97"/>
      <c r="E5" s="4"/>
      <c r="F5" s="97"/>
      <c r="G5" s="97"/>
      <c r="H5" s="5"/>
    </row>
    <row r="6" spans="1:14" ht="15" customHeight="1" x14ac:dyDescent="0.25">
      <c r="A6" s="75" t="s">
        <v>36</v>
      </c>
      <c r="B6" s="177"/>
      <c r="C6" s="177"/>
      <c r="D6" s="6"/>
      <c r="E6" s="7"/>
    </row>
    <row r="7" spans="1:14" ht="15" customHeight="1" x14ac:dyDescent="0.25">
      <c r="A7" s="7"/>
      <c r="B7" s="196" t="s">
        <v>34</v>
      </c>
      <c r="C7" s="196"/>
      <c r="D7" s="10"/>
    </row>
    <row r="8" spans="1:14" ht="20.100000000000001" customHeight="1" x14ac:dyDescent="0.25">
      <c r="B8" s="11"/>
      <c r="C8" s="11"/>
      <c r="D8" s="12" t="s">
        <v>31</v>
      </c>
      <c r="F8" s="180" t="s">
        <v>32</v>
      </c>
      <c r="G8" s="181"/>
      <c r="H8" s="182"/>
    </row>
    <row r="9" spans="1:14" s="14" customFormat="1" ht="20.100000000000001" customHeight="1" x14ac:dyDescent="0.25">
      <c r="A9" s="197"/>
      <c r="B9" s="197"/>
      <c r="C9" s="197"/>
      <c r="D9" s="13">
        <f>SUM(D27,D46,D65,D84,D103,D122,D141,D160)</f>
        <v>20210</v>
      </c>
      <c r="F9" s="15" t="s">
        <v>28</v>
      </c>
      <c r="G9" s="15" t="s">
        <v>29</v>
      </c>
      <c r="H9" s="15" t="s">
        <v>30</v>
      </c>
      <c r="I9" s="16"/>
      <c r="J9" s="16"/>
      <c r="K9" s="16"/>
      <c r="L9" s="16"/>
      <c r="M9" s="16"/>
      <c r="N9" s="16"/>
    </row>
    <row r="10" spans="1:14" s="17" customFormat="1" ht="23.1" customHeight="1" x14ac:dyDescent="0.3">
      <c r="A10" s="198" t="s">
        <v>51</v>
      </c>
      <c r="B10" s="198"/>
      <c r="C10" s="198"/>
      <c r="D10" s="198"/>
      <c r="F10" s="183" t="s">
        <v>66</v>
      </c>
      <c r="G10" s="184"/>
      <c r="H10" s="185"/>
      <c r="I10" s="18"/>
      <c r="J10" s="18"/>
      <c r="K10" s="18"/>
      <c r="L10" s="18"/>
      <c r="M10" s="19"/>
      <c r="N10" s="20"/>
    </row>
    <row r="11" spans="1:14" s="24" customFormat="1" ht="12.75" customHeight="1" x14ac:dyDescent="0.25">
      <c r="A11" s="21" t="s">
        <v>21</v>
      </c>
      <c r="B11" s="22" t="s">
        <v>22</v>
      </c>
      <c r="C11" s="22" t="s">
        <v>23</v>
      </c>
      <c r="D11" s="23" t="s">
        <v>25</v>
      </c>
      <c r="F11" s="186"/>
      <c r="G11" s="187"/>
      <c r="H11" s="188"/>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78" t="s">
        <v>53</v>
      </c>
      <c r="B27" s="179"/>
      <c r="C27" s="179"/>
      <c r="D27" s="96">
        <f>SUM(Grass_11[Amount])</f>
        <v>0</v>
      </c>
      <c r="F27" s="173" t="s">
        <v>33</v>
      </c>
      <c r="G27" s="174"/>
      <c r="H27" s="174"/>
      <c r="I27" s="35"/>
      <c r="J27" s="35"/>
      <c r="K27" s="35"/>
      <c r="L27" s="35"/>
      <c r="M27" s="36"/>
      <c r="N27" s="37"/>
    </row>
    <row r="28" spans="1:14" s="40" customFormat="1" ht="11.1" customHeight="1" x14ac:dyDescent="0.3">
      <c r="A28" s="38"/>
      <c r="B28" s="38"/>
      <c r="C28" s="38"/>
      <c r="D28" s="39"/>
      <c r="F28" s="173"/>
      <c r="G28" s="174"/>
      <c r="H28" s="174"/>
      <c r="I28" s="35"/>
      <c r="J28" s="35"/>
      <c r="K28" s="35"/>
      <c r="L28" s="35"/>
      <c r="M28" s="36"/>
      <c r="N28" s="37"/>
    </row>
    <row r="29" spans="1:14" s="17" customFormat="1" ht="23.1" customHeight="1" x14ac:dyDescent="0.3">
      <c r="A29" s="191" t="s">
        <v>67</v>
      </c>
      <c r="B29" s="192"/>
      <c r="C29" s="192"/>
      <c r="D29" s="193"/>
      <c r="F29" s="183" t="s">
        <v>52</v>
      </c>
      <c r="G29" s="184"/>
      <c r="H29" s="185"/>
      <c r="I29" s="18"/>
      <c r="J29" s="18"/>
      <c r="K29" s="18"/>
      <c r="L29" s="18"/>
      <c r="M29" s="19"/>
      <c r="N29" s="20"/>
    </row>
    <row r="30" spans="1:14" s="41" customFormat="1" ht="12.75" customHeight="1" x14ac:dyDescent="0.25">
      <c r="A30" s="21" t="s">
        <v>21</v>
      </c>
      <c r="B30" s="22" t="s">
        <v>22</v>
      </c>
      <c r="C30" s="22" t="s">
        <v>23</v>
      </c>
      <c r="D30" s="23" t="s">
        <v>25</v>
      </c>
      <c r="F30" s="186"/>
      <c r="G30" s="187"/>
      <c r="H30" s="188"/>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98"/>
      <c r="J44" s="29"/>
      <c r="K44" s="29"/>
      <c r="L44" s="98"/>
      <c r="M44" s="30"/>
      <c r="N44" s="16"/>
    </row>
    <row r="45" spans="1:14" x14ac:dyDescent="0.3">
      <c r="A45" s="106"/>
      <c r="B45" s="107"/>
      <c r="C45" s="107"/>
      <c r="D45" s="114"/>
      <c r="F45" s="103"/>
      <c r="G45" s="104"/>
      <c r="H45" s="109"/>
      <c r="I45" s="98"/>
      <c r="J45" s="29"/>
      <c r="K45" s="29"/>
      <c r="L45" s="98"/>
      <c r="M45" s="30"/>
      <c r="N45" s="16"/>
    </row>
    <row r="46" spans="1:14" s="34" customFormat="1" x14ac:dyDescent="0.3">
      <c r="A46" s="178" t="s">
        <v>54</v>
      </c>
      <c r="B46" s="179"/>
      <c r="C46" s="179"/>
      <c r="D46" s="96">
        <f>SUM(Tree_11[Amount])</f>
        <v>0</v>
      </c>
      <c r="F46" s="173" t="s">
        <v>33</v>
      </c>
      <c r="G46" s="174"/>
      <c r="H46" s="174"/>
      <c r="I46" s="43"/>
      <c r="J46" s="43"/>
      <c r="K46" s="43"/>
      <c r="L46" s="43"/>
      <c r="M46" s="36"/>
      <c r="N46" s="37"/>
    </row>
    <row r="47" spans="1:14" s="40" customFormat="1" ht="11.1" customHeight="1" x14ac:dyDescent="0.3">
      <c r="A47" s="38"/>
      <c r="B47" s="38"/>
      <c r="C47" s="38"/>
      <c r="D47" s="39"/>
      <c r="F47" s="173"/>
      <c r="G47" s="174"/>
      <c r="H47" s="174"/>
      <c r="I47" s="43"/>
      <c r="J47" s="43"/>
      <c r="K47" s="43"/>
      <c r="L47" s="43"/>
      <c r="M47" s="36"/>
      <c r="N47" s="37"/>
    </row>
    <row r="48" spans="1:14" s="17" customFormat="1" ht="23.1" customHeight="1" x14ac:dyDescent="0.3">
      <c r="A48" s="191" t="s">
        <v>68</v>
      </c>
      <c r="B48" s="192"/>
      <c r="C48" s="192"/>
      <c r="D48" s="193"/>
      <c r="F48" s="183" t="s">
        <v>55</v>
      </c>
      <c r="G48" s="184"/>
      <c r="H48" s="185"/>
      <c r="I48" s="44"/>
      <c r="J48" s="44"/>
      <c r="K48" s="44"/>
      <c r="L48" s="44"/>
      <c r="M48" s="19"/>
      <c r="N48" s="20"/>
    </row>
    <row r="49" spans="1:14" s="41" customFormat="1" ht="12.75" customHeight="1" x14ac:dyDescent="0.25">
      <c r="A49" s="21" t="s">
        <v>21</v>
      </c>
      <c r="B49" s="22" t="s">
        <v>22</v>
      </c>
      <c r="C49" s="22" t="s">
        <v>23</v>
      </c>
      <c r="D49" s="23" t="s">
        <v>25</v>
      </c>
      <c r="F49" s="186"/>
      <c r="G49" s="187"/>
      <c r="H49" s="188"/>
      <c r="I49" s="98"/>
      <c r="J49" s="98"/>
      <c r="K49" s="98"/>
      <c r="L49" s="98"/>
      <c r="M49" s="30"/>
      <c r="N49" s="42"/>
    </row>
    <row r="50" spans="1:14" x14ac:dyDescent="0.3">
      <c r="A50" s="100"/>
      <c r="B50" s="101"/>
      <c r="C50" s="101"/>
      <c r="D50" s="112"/>
      <c r="F50" s="103"/>
      <c r="G50" s="104"/>
      <c r="H50" s="109"/>
      <c r="I50" s="98"/>
      <c r="J50" s="98"/>
      <c r="K50" s="98"/>
      <c r="L50" s="98"/>
      <c r="M50" s="30"/>
      <c r="N50" s="16"/>
    </row>
    <row r="51" spans="1:14" x14ac:dyDescent="0.3">
      <c r="A51" s="106"/>
      <c r="B51" s="107"/>
      <c r="C51" s="107"/>
      <c r="D51" s="113"/>
      <c r="F51" s="103"/>
      <c r="G51" s="104"/>
      <c r="H51" s="109"/>
      <c r="I51" s="98"/>
      <c r="J51" s="98"/>
      <c r="K51" s="98"/>
      <c r="L51" s="98"/>
      <c r="M51" s="30"/>
      <c r="N51" s="16"/>
    </row>
    <row r="52" spans="1:14" x14ac:dyDescent="0.3">
      <c r="A52" s="106"/>
      <c r="B52" s="107"/>
      <c r="C52" s="107"/>
      <c r="D52" s="114"/>
      <c r="F52" s="103"/>
      <c r="H52" s="109"/>
      <c r="I52" s="98"/>
      <c r="J52" s="98"/>
      <c r="K52" s="98"/>
      <c r="L52" s="98"/>
      <c r="M52" s="30"/>
      <c r="N52" s="16"/>
    </row>
    <row r="53" spans="1:14" x14ac:dyDescent="0.3">
      <c r="A53" s="106"/>
      <c r="B53" s="107"/>
      <c r="C53" s="107"/>
      <c r="D53" s="113"/>
      <c r="F53" s="103"/>
      <c r="G53" s="104"/>
      <c r="H53" s="109"/>
      <c r="I53" s="98"/>
      <c r="J53" s="98"/>
      <c r="K53" s="98"/>
      <c r="L53" s="98"/>
      <c r="M53" s="30"/>
      <c r="N53" s="16"/>
    </row>
    <row r="54" spans="1:14" x14ac:dyDescent="0.3">
      <c r="A54" s="106"/>
      <c r="B54" s="107"/>
      <c r="C54" s="107"/>
      <c r="D54" s="114"/>
      <c r="F54" s="103"/>
      <c r="G54" s="104"/>
      <c r="H54" s="109"/>
      <c r="I54" s="98"/>
      <c r="J54" s="98"/>
      <c r="K54" s="98"/>
      <c r="L54" s="98"/>
      <c r="M54" s="30"/>
      <c r="N54" s="16"/>
    </row>
    <row r="55" spans="1:14" x14ac:dyDescent="0.3">
      <c r="A55" s="106"/>
      <c r="B55" s="107"/>
      <c r="C55" s="107"/>
      <c r="D55" s="113"/>
      <c r="F55" s="103"/>
      <c r="G55" s="104"/>
      <c r="H55" s="109"/>
      <c r="I55" s="98"/>
      <c r="J55" s="98"/>
      <c r="K55" s="98"/>
      <c r="L55" s="98"/>
      <c r="M55" s="30"/>
      <c r="N55" s="16"/>
    </row>
    <row r="56" spans="1:14" x14ac:dyDescent="0.3">
      <c r="A56" s="106"/>
      <c r="B56" s="107"/>
      <c r="C56" s="107"/>
      <c r="D56" s="114"/>
      <c r="F56" s="103"/>
      <c r="G56" s="104"/>
      <c r="H56" s="109"/>
      <c r="I56" s="98"/>
      <c r="J56" s="98"/>
      <c r="K56" s="98"/>
      <c r="L56" s="98"/>
      <c r="M56" s="30"/>
      <c r="N56" s="16"/>
    </row>
    <row r="57" spans="1:14" x14ac:dyDescent="0.3">
      <c r="A57" s="106"/>
      <c r="B57" s="107"/>
      <c r="C57" s="107"/>
      <c r="D57" s="113"/>
      <c r="F57" s="103"/>
      <c r="G57" s="104"/>
      <c r="H57" s="109"/>
      <c r="I57" s="98"/>
      <c r="J57" s="98"/>
      <c r="K57" s="98"/>
      <c r="L57" s="98"/>
      <c r="M57" s="30"/>
      <c r="N57" s="16"/>
    </row>
    <row r="58" spans="1:14" x14ac:dyDescent="0.3">
      <c r="A58" s="106"/>
      <c r="B58" s="107"/>
      <c r="C58" s="107"/>
      <c r="D58" s="114"/>
      <c r="F58" s="103"/>
      <c r="G58" s="104"/>
      <c r="H58" s="109"/>
      <c r="I58" s="98"/>
      <c r="J58" s="98"/>
      <c r="K58" s="98"/>
      <c r="L58" s="98"/>
      <c r="M58" s="30"/>
      <c r="N58" s="16"/>
    </row>
    <row r="59" spans="1:14" x14ac:dyDescent="0.3">
      <c r="A59" s="106"/>
      <c r="B59" s="107"/>
      <c r="C59" s="107"/>
      <c r="D59" s="113"/>
      <c r="F59" s="103"/>
      <c r="G59" s="104"/>
      <c r="H59" s="109"/>
      <c r="I59" s="98"/>
      <c r="J59" s="190"/>
      <c r="K59" s="190"/>
      <c r="L59" s="98"/>
      <c r="M59" s="30"/>
      <c r="N59" s="16"/>
    </row>
    <row r="60" spans="1:14" x14ac:dyDescent="0.3">
      <c r="A60" s="106"/>
      <c r="B60" s="107"/>
      <c r="C60" s="107"/>
      <c r="D60" s="114"/>
      <c r="F60" s="103"/>
      <c r="G60" s="104"/>
      <c r="H60" s="109"/>
      <c r="I60" s="189"/>
      <c r="J60" s="189"/>
      <c r="K60" s="189"/>
      <c r="L60" s="189"/>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78" t="s">
        <v>56</v>
      </c>
      <c r="B65" s="179"/>
      <c r="C65" s="179"/>
      <c r="D65" s="96">
        <f>SUM(Pest_11[Amount])</f>
        <v>0</v>
      </c>
      <c r="F65" s="173" t="s">
        <v>33</v>
      </c>
      <c r="G65" s="174"/>
      <c r="H65" s="174"/>
    </row>
    <row r="66" spans="1:8" x14ac:dyDescent="0.3">
      <c r="F66" s="173"/>
      <c r="G66" s="174"/>
      <c r="H66" s="174"/>
    </row>
    <row r="67" spans="1:8" ht="17.399999999999999" x14ac:dyDescent="0.3">
      <c r="A67" s="198" t="s">
        <v>69</v>
      </c>
      <c r="B67" s="198"/>
      <c r="C67" s="198"/>
      <c r="D67" s="198"/>
      <c r="E67" s="17"/>
      <c r="F67" s="183" t="s">
        <v>57</v>
      </c>
      <c r="G67" s="184"/>
      <c r="H67" s="185"/>
    </row>
    <row r="68" spans="1:8" x14ac:dyDescent="0.3">
      <c r="A68" s="21" t="s">
        <v>21</v>
      </c>
      <c r="B68" s="22" t="s">
        <v>22</v>
      </c>
      <c r="C68" s="22" t="s">
        <v>23</v>
      </c>
      <c r="D68" s="23" t="s">
        <v>25</v>
      </c>
      <c r="E68" s="24"/>
      <c r="F68" s="186"/>
      <c r="G68" s="187"/>
      <c r="H68" s="188"/>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78" t="s">
        <v>58</v>
      </c>
      <c r="B84" s="179"/>
      <c r="C84" s="179"/>
      <c r="D84" s="96">
        <f>SUM(Garbage_11[Amount])</f>
        <v>0</v>
      </c>
      <c r="E84" s="34"/>
      <c r="F84" s="173" t="s">
        <v>33</v>
      </c>
      <c r="G84" s="174"/>
      <c r="H84" s="174"/>
    </row>
    <row r="85" spans="1:8" x14ac:dyDescent="0.3">
      <c r="A85" s="38"/>
      <c r="B85" s="38"/>
      <c r="C85" s="38"/>
      <c r="D85" s="39"/>
      <c r="E85" s="40"/>
      <c r="F85" s="173"/>
      <c r="G85" s="174"/>
      <c r="H85" s="174"/>
    </row>
    <row r="86" spans="1:8" ht="17.399999999999999" x14ac:dyDescent="0.3">
      <c r="A86" s="191" t="s">
        <v>59</v>
      </c>
      <c r="B86" s="192"/>
      <c r="C86" s="192"/>
      <c r="D86" s="193"/>
      <c r="E86" s="17"/>
      <c r="F86" s="183" t="s">
        <v>60</v>
      </c>
      <c r="G86" s="184"/>
      <c r="H86" s="185"/>
    </row>
    <row r="87" spans="1:8" x14ac:dyDescent="0.3">
      <c r="A87" s="21" t="s">
        <v>21</v>
      </c>
      <c r="B87" s="22" t="s">
        <v>22</v>
      </c>
      <c r="C87" s="22" t="s">
        <v>23</v>
      </c>
      <c r="D87" s="23" t="s">
        <v>25</v>
      </c>
      <c r="E87" s="41"/>
      <c r="F87" s="186"/>
      <c r="G87" s="187"/>
      <c r="H87" s="188"/>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78" t="s">
        <v>61</v>
      </c>
      <c r="B103" s="179"/>
      <c r="C103" s="179"/>
      <c r="D103" s="96">
        <f>SUM(Boarding_11[Amount])</f>
        <v>0</v>
      </c>
      <c r="E103" s="34"/>
      <c r="F103" s="173" t="s">
        <v>33</v>
      </c>
      <c r="G103" s="174"/>
      <c r="H103" s="174"/>
    </row>
    <row r="104" spans="1:8" x14ac:dyDescent="0.3">
      <c r="A104" s="38"/>
      <c r="B104" s="38"/>
      <c r="C104" s="38"/>
      <c r="D104" s="39"/>
      <c r="E104" s="40"/>
      <c r="F104" s="173"/>
      <c r="G104" s="174"/>
      <c r="H104" s="174"/>
    </row>
    <row r="105" spans="1:8" ht="17.399999999999999" x14ac:dyDescent="0.3">
      <c r="A105" s="191" t="s">
        <v>70</v>
      </c>
      <c r="B105" s="192"/>
      <c r="C105" s="192"/>
      <c r="D105" s="193"/>
      <c r="E105" s="17"/>
      <c r="F105" s="183" t="s">
        <v>62</v>
      </c>
      <c r="G105" s="184"/>
      <c r="H105" s="185"/>
    </row>
    <row r="106" spans="1:8" x14ac:dyDescent="0.3">
      <c r="A106" s="21" t="s">
        <v>21</v>
      </c>
      <c r="B106" s="22" t="s">
        <v>22</v>
      </c>
      <c r="C106" s="22" t="s">
        <v>23</v>
      </c>
      <c r="D106" s="23" t="s">
        <v>25</v>
      </c>
      <c r="E106" s="41"/>
      <c r="F106" s="186"/>
      <c r="G106" s="187"/>
      <c r="H106" s="188"/>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78" t="s">
        <v>63</v>
      </c>
      <c r="B122" s="179"/>
      <c r="C122" s="179"/>
      <c r="D122" s="96">
        <f>SUM(Fence_11[Amount])</f>
        <v>0</v>
      </c>
      <c r="E122" s="34"/>
      <c r="F122" s="173" t="s">
        <v>33</v>
      </c>
      <c r="G122" s="174"/>
      <c r="H122" s="174"/>
    </row>
    <row r="123" spans="1:8" x14ac:dyDescent="0.3">
      <c r="F123" s="173"/>
      <c r="G123" s="174"/>
      <c r="H123" s="174"/>
    </row>
    <row r="124" spans="1:8" ht="17.399999999999999" x14ac:dyDescent="0.3">
      <c r="A124" s="191" t="s">
        <v>26</v>
      </c>
      <c r="B124" s="192"/>
      <c r="C124" s="192"/>
      <c r="D124" s="193"/>
      <c r="E124" s="17"/>
      <c r="F124" s="183" t="s">
        <v>11</v>
      </c>
      <c r="G124" s="184"/>
      <c r="H124" s="185"/>
    </row>
    <row r="125" spans="1:8" x14ac:dyDescent="0.3">
      <c r="A125" s="21" t="s">
        <v>21</v>
      </c>
      <c r="B125" s="22" t="s">
        <v>22</v>
      </c>
      <c r="C125" s="22" t="s">
        <v>23</v>
      </c>
      <c r="D125" s="23" t="s">
        <v>25</v>
      </c>
      <c r="E125" s="41"/>
      <c r="F125" s="186"/>
      <c r="G125" s="187"/>
      <c r="H125" s="188"/>
    </row>
    <row r="126" spans="1:8" x14ac:dyDescent="0.3">
      <c r="A126" s="100"/>
      <c r="B126" s="101"/>
      <c r="C126" s="101"/>
      <c r="D126" s="150">
        <v>20210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78" t="s">
        <v>27</v>
      </c>
      <c r="B141" s="179"/>
      <c r="C141" s="179"/>
      <c r="D141" s="96">
        <f>SUM(Demolition_11[Amount])</f>
        <v>20210</v>
      </c>
      <c r="E141" s="34"/>
      <c r="F141" s="173" t="s">
        <v>33</v>
      </c>
      <c r="G141" s="174"/>
      <c r="H141" s="174"/>
    </row>
    <row r="142" spans="1:8" x14ac:dyDescent="0.3">
      <c r="A142" s="38"/>
      <c r="B142" s="38"/>
      <c r="C142" s="38"/>
      <c r="D142" s="39"/>
      <c r="E142" s="40"/>
      <c r="F142" s="173"/>
      <c r="G142" s="174"/>
      <c r="H142" s="174"/>
    </row>
    <row r="143" spans="1:8" ht="17.399999999999999" x14ac:dyDescent="0.3">
      <c r="A143" s="191" t="s">
        <v>64</v>
      </c>
      <c r="B143" s="192"/>
      <c r="C143" s="192"/>
      <c r="D143" s="193"/>
      <c r="E143" s="17"/>
      <c r="F143" s="183" t="s">
        <v>44</v>
      </c>
      <c r="G143" s="184"/>
      <c r="H143" s="185"/>
    </row>
    <row r="144" spans="1:8" x14ac:dyDescent="0.3">
      <c r="A144" s="21" t="s">
        <v>21</v>
      </c>
      <c r="B144" s="22" t="s">
        <v>22</v>
      </c>
      <c r="C144" s="22" t="s">
        <v>23</v>
      </c>
      <c r="D144" s="23" t="s">
        <v>25</v>
      </c>
      <c r="E144" s="41"/>
      <c r="F144" s="186"/>
      <c r="G144" s="187"/>
      <c r="H144" s="188"/>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78" t="s">
        <v>65</v>
      </c>
      <c r="B160" s="179"/>
      <c r="C160" s="179"/>
      <c r="D160" s="96">
        <f>SUM(Rehab_11[Amount])</f>
        <v>0</v>
      </c>
      <c r="E160" s="34"/>
      <c r="F160" s="173" t="s">
        <v>33</v>
      </c>
      <c r="G160" s="174"/>
      <c r="H160" s="174"/>
    </row>
    <row r="161" spans="6:8" x14ac:dyDescent="0.3">
      <c r="F161" s="173"/>
      <c r="G161" s="174"/>
      <c r="H161" s="174"/>
    </row>
  </sheetData>
  <sheetProtection algorithmName="SHA-512" hashValue="8/BI0AdPouUlL02ZSERv0exivSNbcQB24y8qkKQizpfwfuwIqzx1TRcxNOBAL347aZq9uLzhbrojJhaBo6eG/A==" saltValue="c5hVmnvtUPbW2r2dV57l5g=="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N161"/>
  <sheetViews>
    <sheetView showGridLines="0" zoomScaleNormal="100" workbookViewId="0">
      <pane ySplit="9" topLeftCell="A121" activePane="bottomLeft" state="frozen"/>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5" t="s">
        <v>24</v>
      </c>
      <c r="B1" s="175"/>
      <c r="C1" s="175"/>
      <c r="D1" s="175"/>
      <c r="E1" s="1"/>
      <c r="F1" s="2"/>
      <c r="G1" s="2"/>
      <c r="H1" s="1"/>
    </row>
    <row r="2" spans="1:14" ht="24.9" customHeight="1" x14ac:dyDescent="0.3">
      <c r="A2" s="176" t="s">
        <v>71</v>
      </c>
      <c r="B2" s="176"/>
      <c r="C2" s="176"/>
      <c r="D2" s="176"/>
      <c r="E2" s="4"/>
      <c r="F2" s="97"/>
      <c r="G2" s="97"/>
      <c r="H2" s="5"/>
    </row>
    <row r="3" spans="1:14" ht="31.5" customHeight="1" x14ac:dyDescent="0.3">
      <c r="A3" s="176"/>
      <c r="B3" s="176"/>
      <c r="C3" s="176"/>
      <c r="D3" s="176"/>
      <c r="E3" s="4"/>
      <c r="F3" s="97"/>
      <c r="G3" s="97"/>
      <c r="H3" s="5"/>
    </row>
    <row r="4" spans="1:14" ht="15" customHeight="1" x14ac:dyDescent="0.25">
      <c r="A4" s="75" t="s">
        <v>19</v>
      </c>
      <c r="B4" s="194" t="str">
        <f>IF('Summary Sheet'!B44="","",'Summary Sheet'!B44)</f>
        <v>1330 S CHRISTIANA AVE</v>
      </c>
      <c r="C4" s="194"/>
      <c r="D4" s="97"/>
      <c r="E4" s="4"/>
      <c r="F4" s="97"/>
      <c r="G4" s="97"/>
      <c r="H4" s="5"/>
    </row>
    <row r="5" spans="1:14" ht="15" customHeight="1" x14ac:dyDescent="0.25">
      <c r="A5" s="75" t="s">
        <v>20</v>
      </c>
      <c r="B5" s="195" t="str">
        <f>IF('Summary Sheet'!C44="","",'Summary Sheet'!C44)</f>
        <v/>
      </c>
      <c r="C5" s="195"/>
      <c r="D5" s="97"/>
      <c r="E5" s="4"/>
      <c r="F5" s="97"/>
      <c r="G5" s="97"/>
      <c r="H5" s="5"/>
    </row>
    <row r="6" spans="1:14" ht="15" customHeight="1" x14ac:dyDescent="0.25">
      <c r="A6" s="75" t="s">
        <v>36</v>
      </c>
      <c r="B6" s="177"/>
      <c r="C6" s="177"/>
      <c r="D6" s="6"/>
      <c r="E6" s="7"/>
    </row>
    <row r="7" spans="1:14" ht="15" customHeight="1" x14ac:dyDescent="0.25">
      <c r="A7" s="7"/>
      <c r="B7" s="196" t="s">
        <v>34</v>
      </c>
      <c r="C7" s="196"/>
      <c r="D7" s="10"/>
    </row>
    <row r="8" spans="1:14" ht="20.100000000000001" customHeight="1" x14ac:dyDescent="0.25">
      <c r="B8" s="11"/>
      <c r="C8" s="11"/>
      <c r="D8" s="12" t="s">
        <v>31</v>
      </c>
      <c r="F8" s="180" t="s">
        <v>32</v>
      </c>
      <c r="G8" s="181"/>
      <c r="H8" s="182"/>
    </row>
    <row r="9" spans="1:14" s="14" customFormat="1" ht="20.100000000000001" customHeight="1" x14ac:dyDescent="0.25">
      <c r="A9" s="197"/>
      <c r="B9" s="197"/>
      <c r="C9" s="197"/>
      <c r="D9" s="13">
        <f>SUM(D27,D46,D65,D84,D103,D122,D141,D160)</f>
        <v>18510</v>
      </c>
      <c r="F9" s="15" t="s">
        <v>28</v>
      </c>
      <c r="G9" s="15" t="s">
        <v>29</v>
      </c>
      <c r="H9" s="15" t="s">
        <v>30</v>
      </c>
      <c r="I9" s="16"/>
      <c r="J9" s="16"/>
      <c r="K9" s="16"/>
      <c r="L9" s="16"/>
      <c r="M9" s="16"/>
      <c r="N9" s="16"/>
    </row>
    <row r="10" spans="1:14" s="17" customFormat="1" ht="23.1" customHeight="1" x14ac:dyDescent="0.3">
      <c r="A10" s="198" t="s">
        <v>51</v>
      </c>
      <c r="B10" s="198"/>
      <c r="C10" s="198"/>
      <c r="D10" s="198"/>
      <c r="F10" s="183" t="s">
        <v>66</v>
      </c>
      <c r="G10" s="184"/>
      <c r="H10" s="185"/>
      <c r="I10" s="18"/>
      <c r="J10" s="18"/>
      <c r="K10" s="18"/>
      <c r="L10" s="18"/>
      <c r="M10" s="19"/>
      <c r="N10" s="20"/>
    </row>
    <row r="11" spans="1:14" s="24" customFormat="1" ht="12.75" customHeight="1" x14ac:dyDescent="0.25">
      <c r="A11" s="21" t="s">
        <v>21</v>
      </c>
      <c r="B11" s="22" t="s">
        <v>22</v>
      </c>
      <c r="C11" s="22" t="s">
        <v>23</v>
      </c>
      <c r="D11" s="23" t="s">
        <v>25</v>
      </c>
      <c r="F11" s="186"/>
      <c r="G11" s="187"/>
      <c r="H11" s="188"/>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78" t="s">
        <v>53</v>
      </c>
      <c r="B27" s="179"/>
      <c r="C27" s="179"/>
      <c r="D27" s="96">
        <f>SUM(Grass_12[Amount])</f>
        <v>0</v>
      </c>
      <c r="F27" s="173" t="s">
        <v>33</v>
      </c>
      <c r="G27" s="174"/>
      <c r="H27" s="174"/>
      <c r="I27" s="35"/>
      <c r="J27" s="35"/>
      <c r="K27" s="35"/>
      <c r="L27" s="35"/>
      <c r="M27" s="36"/>
      <c r="N27" s="37"/>
    </row>
    <row r="28" spans="1:14" s="40" customFormat="1" ht="11.1" customHeight="1" x14ac:dyDescent="0.3">
      <c r="A28" s="38"/>
      <c r="B28" s="38"/>
      <c r="C28" s="38"/>
      <c r="D28" s="39"/>
      <c r="F28" s="173"/>
      <c r="G28" s="174"/>
      <c r="H28" s="174"/>
      <c r="I28" s="35"/>
      <c r="J28" s="35"/>
      <c r="K28" s="35"/>
      <c r="L28" s="35"/>
      <c r="M28" s="36"/>
      <c r="N28" s="37"/>
    </row>
    <row r="29" spans="1:14" s="17" customFormat="1" ht="23.1" customHeight="1" x14ac:dyDescent="0.3">
      <c r="A29" s="191" t="s">
        <v>67</v>
      </c>
      <c r="B29" s="192"/>
      <c r="C29" s="192"/>
      <c r="D29" s="193"/>
      <c r="F29" s="183" t="s">
        <v>52</v>
      </c>
      <c r="G29" s="184"/>
      <c r="H29" s="185"/>
      <c r="I29" s="18"/>
      <c r="J29" s="18"/>
      <c r="K29" s="18"/>
      <c r="L29" s="18"/>
      <c r="M29" s="19"/>
      <c r="N29" s="20"/>
    </row>
    <row r="30" spans="1:14" s="41" customFormat="1" ht="12.75" customHeight="1" x14ac:dyDescent="0.25">
      <c r="A30" s="21" t="s">
        <v>21</v>
      </c>
      <c r="B30" s="22" t="s">
        <v>22</v>
      </c>
      <c r="C30" s="22" t="s">
        <v>23</v>
      </c>
      <c r="D30" s="23" t="s">
        <v>25</v>
      </c>
      <c r="F30" s="186"/>
      <c r="G30" s="187"/>
      <c r="H30" s="188"/>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98"/>
      <c r="J44" s="29"/>
      <c r="K44" s="29"/>
      <c r="L44" s="98"/>
      <c r="M44" s="30"/>
      <c r="N44" s="16"/>
    </row>
    <row r="45" spans="1:14" x14ac:dyDescent="0.3">
      <c r="A45" s="106"/>
      <c r="B45" s="107"/>
      <c r="C45" s="107"/>
      <c r="D45" s="114"/>
      <c r="F45" s="103"/>
      <c r="G45" s="104"/>
      <c r="H45" s="109"/>
      <c r="I45" s="98"/>
      <c r="J45" s="29"/>
      <c r="K45" s="29"/>
      <c r="L45" s="98"/>
      <c r="M45" s="30"/>
      <c r="N45" s="16"/>
    </row>
    <row r="46" spans="1:14" s="34" customFormat="1" x14ac:dyDescent="0.3">
      <c r="A46" s="178" t="s">
        <v>54</v>
      </c>
      <c r="B46" s="179"/>
      <c r="C46" s="179"/>
      <c r="D46" s="96">
        <f>SUM(Tree_12[Amount])</f>
        <v>0</v>
      </c>
      <c r="F46" s="173" t="s">
        <v>33</v>
      </c>
      <c r="G46" s="174"/>
      <c r="H46" s="174"/>
      <c r="I46" s="43"/>
      <c r="J46" s="43"/>
      <c r="K46" s="43"/>
      <c r="L46" s="43"/>
      <c r="M46" s="36"/>
      <c r="N46" s="37"/>
    </row>
    <row r="47" spans="1:14" s="40" customFormat="1" ht="11.1" customHeight="1" x14ac:dyDescent="0.3">
      <c r="A47" s="38"/>
      <c r="B47" s="38"/>
      <c r="C47" s="38"/>
      <c r="D47" s="39"/>
      <c r="F47" s="173"/>
      <c r="G47" s="174"/>
      <c r="H47" s="174"/>
      <c r="I47" s="43"/>
      <c r="J47" s="43"/>
      <c r="K47" s="43"/>
      <c r="L47" s="43"/>
      <c r="M47" s="36"/>
      <c r="N47" s="37"/>
    </row>
    <row r="48" spans="1:14" s="17" customFormat="1" ht="23.1" customHeight="1" x14ac:dyDescent="0.3">
      <c r="A48" s="191" t="s">
        <v>68</v>
      </c>
      <c r="B48" s="192"/>
      <c r="C48" s="192"/>
      <c r="D48" s="193"/>
      <c r="F48" s="183" t="s">
        <v>55</v>
      </c>
      <c r="G48" s="184"/>
      <c r="H48" s="185"/>
      <c r="I48" s="44"/>
      <c r="J48" s="44"/>
      <c r="K48" s="44"/>
      <c r="L48" s="44"/>
      <c r="M48" s="19"/>
      <c r="N48" s="20"/>
    </row>
    <row r="49" spans="1:14" s="41" customFormat="1" ht="12.75" customHeight="1" x14ac:dyDescent="0.25">
      <c r="A49" s="21" t="s">
        <v>21</v>
      </c>
      <c r="B49" s="22" t="s">
        <v>22</v>
      </c>
      <c r="C49" s="22" t="s">
        <v>23</v>
      </c>
      <c r="D49" s="23" t="s">
        <v>25</v>
      </c>
      <c r="F49" s="186"/>
      <c r="G49" s="187"/>
      <c r="H49" s="188"/>
      <c r="I49" s="98"/>
      <c r="J49" s="98"/>
      <c r="K49" s="98"/>
      <c r="L49" s="98"/>
      <c r="M49" s="30"/>
      <c r="N49" s="42"/>
    </row>
    <row r="50" spans="1:14" x14ac:dyDescent="0.3">
      <c r="A50" s="100"/>
      <c r="B50" s="101"/>
      <c r="C50" s="101"/>
      <c r="D50" s="112"/>
      <c r="F50" s="103"/>
      <c r="G50" s="104"/>
      <c r="H50" s="109"/>
      <c r="I50" s="98"/>
      <c r="J50" s="98"/>
      <c r="K50" s="98"/>
      <c r="L50" s="98"/>
      <c r="M50" s="30"/>
      <c r="N50" s="16"/>
    </row>
    <row r="51" spans="1:14" x14ac:dyDescent="0.3">
      <c r="A51" s="106"/>
      <c r="B51" s="107"/>
      <c r="C51" s="107"/>
      <c r="D51" s="113"/>
      <c r="F51" s="103"/>
      <c r="G51" s="104"/>
      <c r="H51" s="109"/>
      <c r="I51" s="98"/>
      <c r="J51" s="98"/>
      <c r="K51" s="98"/>
      <c r="L51" s="98"/>
      <c r="M51" s="30"/>
      <c r="N51" s="16"/>
    </row>
    <row r="52" spans="1:14" x14ac:dyDescent="0.3">
      <c r="A52" s="106"/>
      <c r="B52" s="107"/>
      <c r="C52" s="107"/>
      <c r="D52" s="114"/>
      <c r="F52" s="103"/>
      <c r="H52" s="109"/>
      <c r="I52" s="98"/>
      <c r="J52" s="98"/>
      <c r="K52" s="98"/>
      <c r="L52" s="98"/>
      <c r="M52" s="30"/>
      <c r="N52" s="16"/>
    </row>
    <row r="53" spans="1:14" x14ac:dyDescent="0.3">
      <c r="A53" s="106"/>
      <c r="B53" s="107"/>
      <c r="C53" s="107"/>
      <c r="D53" s="113"/>
      <c r="F53" s="103"/>
      <c r="G53" s="104"/>
      <c r="H53" s="109"/>
      <c r="I53" s="98"/>
      <c r="J53" s="98"/>
      <c r="K53" s="98"/>
      <c r="L53" s="98"/>
      <c r="M53" s="30"/>
      <c r="N53" s="16"/>
    </row>
    <row r="54" spans="1:14" x14ac:dyDescent="0.3">
      <c r="A54" s="106"/>
      <c r="B54" s="107"/>
      <c r="C54" s="107"/>
      <c r="D54" s="114"/>
      <c r="F54" s="103"/>
      <c r="G54" s="104"/>
      <c r="H54" s="109"/>
      <c r="I54" s="98"/>
      <c r="J54" s="98"/>
      <c r="K54" s="98"/>
      <c r="L54" s="98"/>
      <c r="M54" s="30"/>
      <c r="N54" s="16"/>
    </row>
    <row r="55" spans="1:14" x14ac:dyDescent="0.3">
      <c r="A55" s="106"/>
      <c r="B55" s="107"/>
      <c r="C55" s="107"/>
      <c r="D55" s="113"/>
      <c r="F55" s="103"/>
      <c r="G55" s="104"/>
      <c r="H55" s="109"/>
      <c r="I55" s="98"/>
      <c r="J55" s="98"/>
      <c r="K55" s="98"/>
      <c r="L55" s="98"/>
      <c r="M55" s="30"/>
      <c r="N55" s="16"/>
    </row>
    <row r="56" spans="1:14" x14ac:dyDescent="0.3">
      <c r="A56" s="106"/>
      <c r="B56" s="107"/>
      <c r="C56" s="107"/>
      <c r="D56" s="114"/>
      <c r="F56" s="103"/>
      <c r="G56" s="104"/>
      <c r="H56" s="109"/>
      <c r="I56" s="98"/>
      <c r="J56" s="98"/>
      <c r="K56" s="98"/>
      <c r="L56" s="98"/>
      <c r="M56" s="30"/>
      <c r="N56" s="16"/>
    </row>
    <row r="57" spans="1:14" x14ac:dyDescent="0.3">
      <c r="A57" s="106"/>
      <c r="B57" s="107"/>
      <c r="C57" s="107"/>
      <c r="D57" s="113"/>
      <c r="F57" s="103"/>
      <c r="G57" s="104"/>
      <c r="H57" s="109"/>
      <c r="I57" s="98"/>
      <c r="J57" s="98"/>
      <c r="K57" s="98"/>
      <c r="L57" s="98"/>
      <c r="M57" s="30"/>
      <c r="N57" s="16"/>
    </row>
    <row r="58" spans="1:14" x14ac:dyDescent="0.3">
      <c r="A58" s="106"/>
      <c r="B58" s="107"/>
      <c r="C58" s="107"/>
      <c r="D58" s="114"/>
      <c r="F58" s="103"/>
      <c r="G58" s="104"/>
      <c r="H58" s="109"/>
      <c r="I58" s="98"/>
      <c r="J58" s="98"/>
      <c r="K58" s="98"/>
      <c r="L58" s="98"/>
      <c r="M58" s="30"/>
      <c r="N58" s="16"/>
    </row>
    <row r="59" spans="1:14" x14ac:dyDescent="0.3">
      <c r="A59" s="106"/>
      <c r="B59" s="107"/>
      <c r="C59" s="107"/>
      <c r="D59" s="113"/>
      <c r="F59" s="103"/>
      <c r="G59" s="104"/>
      <c r="H59" s="109"/>
      <c r="I59" s="98"/>
      <c r="J59" s="190"/>
      <c r="K59" s="190"/>
      <c r="L59" s="98"/>
      <c r="M59" s="30"/>
      <c r="N59" s="16"/>
    </row>
    <row r="60" spans="1:14" x14ac:dyDescent="0.3">
      <c r="A60" s="106"/>
      <c r="B60" s="107"/>
      <c r="C60" s="107"/>
      <c r="D60" s="114"/>
      <c r="F60" s="103"/>
      <c r="G60" s="104"/>
      <c r="H60" s="109"/>
      <c r="I60" s="189"/>
      <c r="J60" s="189"/>
      <c r="K60" s="189"/>
      <c r="L60" s="189"/>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78" t="s">
        <v>56</v>
      </c>
      <c r="B65" s="179"/>
      <c r="C65" s="179"/>
      <c r="D65" s="96">
        <f>SUM(Pest_12[Amount])</f>
        <v>0</v>
      </c>
      <c r="F65" s="173" t="s">
        <v>33</v>
      </c>
      <c r="G65" s="174"/>
      <c r="H65" s="174"/>
    </row>
    <row r="66" spans="1:8" x14ac:dyDescent="0.3">
      <c r="F66" s="173"/>
      <c r="G66" s="174"/>
      <c r="H66" s="174"/>
    </row>
    <row r="67" spans="1:8" ht="17.399999999999999" x14ac:dyDescent="0.3">
      <c r="A67" s="198" t="s">
        <v>69</v>
      </c>
      <c r="B67" s="198"/>
      <c r="C67" s="198"/>
      <c r="D67" s="198"/>
      <c r="E67" s="17"/>
      <c r="F67" s="183" t="s">
        <v>57</v>
      </c>
      <c r="G67" s="184"/>
      <c r="H67" s="185"/>
    </row>
    <row r="68" spans="1:8" x14ac:dyDescent="0.3">
      <c r="A68" s="21" t="s">
        <v>21</v>
      </c>
      <c r="B68" s="22" t="s">
        <v>22</v>
      </c>
      <c r="C68" s="22" t="s">
        <v>23</v>
      </c>
      <c r="D68" s="23" t="s">
        <v>25</v>
      </c>
      <c r="E68" s="24"/>
      <c r="F68" s="186"/>
      <c r="G68" s="187"/>
      <c r="H68" s="188"/>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78" t="s">
        <v>58</v>
      </c>
      <c r="B84" s="179"/>
      <c r="C84" s="179"/>
      <c r="D84" s="96">
        <f>SUM(Garbage_12[Amount])</f>
        <v>0</v>
      </c>
      <c r="E84" s="34"/>
      <c r="F84" s="173" t="s">
        <v>33</v>
      </c>
      <c r="G84" s="174"/>
      <c r="H84" s="174"/>
    </row>
    <row r="85" spans="1:8" x14ac:dyDescent="0.3">
      <c r="A85" s="38"/>
      <c r="B85" s="38"/>
      <c r="C85" s="38"/>
      <c r="D85" s="39"/>
      <c r="E85" s="40"/>
      <c r="F85" s="173"/>
      <c r="G85" s="174"/>
      <c r="H85" s="174"/>
    </row>
    <row r="86" spans="1:8" ht="17.399999999999999" x14ac:dyDescent="0.3">
      <c r="A86" s="191" t="s">
        <v>59</v>
      </c>
      <c r="B86" s="192"/>
      <c r="C86" s="192"/>
      <c r="D86" s="193"/>
      <c r="E86" s="17"/>
      <c r="F86" s="183" t="s">
        <v>60</v>
      </c>
      <c r="G86" s="184"/>
      <c r="H86" s="185"/>
    </row>
    <row r="87" spans="1:8" x14ac:dyDescent="0.3">
      <c r="A87" s="21" t="s">
        <v>21</v>
      </c>
      <c r="B87" s="22" t="s">
        <v>22</v>
      </c>
      <c r="C87" s="22" t="s">
        <v>23</v>
      </c>
      <c r="D87" s="23" t="s">
        <v>25</v>
      </c>
      <c r="E87" s="41"/>
      <c r="F87" s="186"/>
      <c r="G87" s="187"/>
      <c r="H87" s="188"/>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78" t="s">
        <v>61</v>
      </c>
      <c r="B103" s="179"/>
      <c r="C103" s="179"/>
      <c r="D103" s="96">
        <f>SUM(Boarding_12[Amount])</f>
        <v>0</v>
      </c>
      <c r="E103" s="34"/>
      <c r="F103" s="173" t="s">
        <v>33</v>
      </c>
      <c r="G103" s="174"/>
      <c r="H103" s="174"/>
    </row>
    <row r="104" spans="1:8" x14ac:dyDescent="0.3">
      <c r="A104" s="38"/>
      <c r="B104" s="38"/>
      <c r="C104" s="38"/>
      <c r="D104" s="39"/>
      <c r="E104" s="40"/>
      <c r="F104" s="173"/>
      <c r="G104" s="174"/>
      <c r="H104" s="174"/>
    </row>
    <row r="105" spans="1:8" ht="17.399999999999999" x14ac:dyDescent="0.3">
      <c r="A105" s="191" t="s">
        <v>70</v>
      </c>
      <c r="B105" s="192"/>
      <c r="C105" s="192"/>
      <c r="D105" s="193"/>
      <c r="E105" s="17"/>
      <c r="F105" s="183" t="s">
        <v>62</v>
      </c>
      <c r="G105" s="184"/>
      <c r="H105" s="185"/>
    </row>
    <row r="106" spans="1:8" x14ac:dyDescent="0.3">
      <c r="A106" s="21" t="s">
        <v>21</v>
      </c>
      <c r="B106" s="22" t="s">
        <v>22</v>
      </c>
      <c r="C106" s="22" t="s">
        <v>23</v>
      </c>
      <c r="D106" s="23" t="s">
        <v>25</v>
      </c>
      <c r="E106" s="41"/>
      <c r="F106" s="186"/>
      <c r="G106" s="187"/>
      <c r="H106" s="188"/>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78" t="s">
        <v>63</v>
      </c>
      <c r="B122" s="179"/>
      <c r="C122" s="179"/>
      <c r="D122" s="96">
        <f>SUM(Fence_12[Amount])</f>
        <v>0</v>
      </c>
      <c r="E122" s="34"/>
      <c r="F122" s="173" t="s">
        <v>33</v>
      </c>
      <c r="G122" s="174"/>
      <c r="H122" s="174"/>
    </row>
    <row r="123" spans="1:8" x14ac:dyDescent="0.3">
      <c r="F123" s="173"/>
      <c r="G123" s="174"/>
      <c r="H123" s="174"/>
    </row>
    <row r="124" spans="1:8" ht="17.399999999999999" x14ac:dyDescent="0.3">
      <c r="A124" s="191" t="s">
        <v>26</v>
      </c>
      <c r="B124" s="192"/>
      <c r="C124" s="192"/>
      <c r="D124" s="193"/>
      <c r="E124" s="17"/>
      <c r="F124" s="183" t="s">
        <v>11</v>
      </c>
      <c r="G124" s="184"/>
      <c r="H124" s="185"/>
    </row>
    <row r="125" spans="1:8" x14ac:dyDescent="0.3">
      <c r="A125" s="21" t="s">
        <v>21</v>
      </c>
      <c r="B125" s="22" t="s">
        <v>22</v>
      </c>
      <c r="C125" s="22" t="s">
        <v>23</v>
      </c>
      <c r="D125" s="23" t="s">
        <v>25</v>
      </c>
      <c r="E125" s="41"/>
      <c r="F125" s="186"/>
      <c r="G125" s="187"/>
      <c r="H125" s="188"/>
    </row>
    <row r="126" spans="1:8" x14ac:dyDescent="0.3">
      <c r="A126" s="100"/>
      <c r="B126" s="101"/>
      <c r="C126" s="101"/>
      <c r="D126" s="151">
        <v>18510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78" t="s">
        <v>27</v>
      </c>
      <c r="B141" s="179"/>
      <c r="C141" s="179"/>
      <c r="D141" s="96">
        <f>SUM(Demolition_12[Amount])</f>
        <v>18510</v>
      </c>
      <c r="E141" s="34"/>
      <c r="F141" s="173" t="s">
        <v>33</v>
      </c>
      <c r="G141" s="174"/>
      <c r="H141" s="174"/>
    </row>
    <row r="142" spans="1:8" x14ac:dyDescent="0.3">
      <c r="A142" s="38"/>
      <c r="B142" s="38"/>
      <c r="C142" s="38"/>
      <c r="D142" s="39"/>
      <c r="E142" s="40"/>
      <c r="F142" s="173"/>
      <c r="G142" s="174"/>
      <c r="H142" s="174"/>
    </row>
    <row r="143" spans="1:8" ht="17.399999999999999" x14ac:dyDescent="0.3">
      <c r="A143" s="191" t="s">
        <v>64</v>
      </c>
      <c r="B143" s="192"/>
      <c r="C143" s="192"/>
      <c r="D143" s="193"/>
      <c r="E143" s="17"/>
      <c r="F143" s="183" t="s">
        <v>44</v>
      </c>
      <c r="G143" s="184"/>
      <c r="H143" s="185"/>
    </row>
    <row r="144" spans="1:8" x14ac:dyDescent="0.3">
      <c r="A144" s="21" t="s">
        <v>21</v>
      </c>
      <c r="B144" s="22" t="s">
        <v>22</v>
      </c>
      <c r="C144" s="22" t="s">
        <v>23</v>
      </c>
      <c r="D144" s="23" t="s">
        <v>25</v>
      </c>
      <c r="E144" s="41"/>
      <c r="F144" s="186"/>
      <c r="G144" s="187"/>
      <c r="H144" s="188"/>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78" t="s">
        <v>65</v>
      </c>
      <c r="B160" s="179"/>
      <c r="C160" s="179"/>
      <c r="D160" s="96">
        <f>SUM(Rehab_12[Amount])</f>
        <v>0</v>
      </c>
      <c r="E160" s="34"/>
      <c r="F160" s="173" t="s">
        <v>33</v>
      </c>
      <c r="G160" s="174"/>
      <c r="H160" s="174"/>
    </row>
    <row r="161" spans="6:8" x14ac:dyDescent="0.3">
      <c r="F161" s="173"/>
      <c r="G161" s="174"/>
      <c r="H161" s="174"/>
    </row>
  </sheetData>
  <sheetProtection algorithmName="SHA-512" hashValue="x+Zlm202GXPquNFelLutn2/wdd/T+H4gBH5/X9pYh1ChXL5CxKnCazii1+ASC1DlUsQiMeSpIX2zRRtEZwPUBQ==" saltValue="zdYaXpzXvFd+AbFuogSUrw=="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N161"/>
  <sheetViews>
    <sheetView showGridLines="0" zoomScaleNormal="100" workbookViewId="0">
      <pane ySplit="9" topLeftCell="A115" activePane="bottomLeft" state="frozen"/>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5" t="s">
        <v>24</v>
      </c>
      <c r="B1" s="175"/>
      <c r="C1" s="175"/>
      <c r="D1" s="175"/>
      <c r="E1" s="1"/>
      <c r="F1" s="2"/>
      <c r="G1" s="2"/>
      <c r="H1" s="1"/>
    </row>
    <row r="2" spans="1:14" ht="24.9" customHeight="1" x14ac:dyDescent="0.3">
      <c r="A2" s="176" t="s">
        <v>71</v>
      </c>
      <c r="B2" s="176"/>
      <c r="C2" s="176"/>
      <c r="D2" s="176"/>
      <c r="E2" s="4"/>
      <c r="F2" s="97"/>
      <c r="G2" s="97"/>
      <c r="H2" s="5"/>
    </row>
    <row r="3" spans="1:14" ht="31.5" customHeight="1" x14ac:dyDescent="0.3">
      <c r="A3" s="176"/>
      <c r="B3" s="176"/>
      <c r="C3" s="176"/>
      <c r="D3" s="176"/>
      <c r="E3" s="4"/>
      <c r="F3" s="97"/>
      <c r="G3" s="97"/>
      <c r="H3" s="5"/>
    </row>
    <row r="4" spans="1:14" ht="15" customHeight="1" x14ac:dyDescent="0.25">
      <c r="A4" s="75" t="s">
        <v>19</v>
      </c>
      <c r="B4" s="194" t="str">
        <f>IF('Summary Sheet'!B45="","",'Summary Sheet'!B45)</f>
        <v>1331 W 111TH ST</v>
      </c>
      <c r="C4" s="194"/>
      <c r="D4" s="97"/>
      <c r="E4" s="4"/>
      <c r="F4" s="97"/>
      <c r="G4" s="97"/>
      <c r="H4" s="5"/>
    </row>
    <row r="5" spans="1:14" ht="15" customHeight="1" x14ac:dyDescent="0.25">
      <c r="A5" s="75" t="s">
        <v>20</v>
      </c>
      <c r="B5" s="195" t="str">
        <f>IF('Summary Sheet'!C45="","",'Summary Sheet'!C45)</f>
        <v/>
      </c>
      <c r="C5" s="195"/>
      <c r="D5" s="97"/>
      <c r="E5" s="4"/>
      <c r="F5" s="97"/>
      <c r="G5" s="97"/>
      <c r="H5" s="5"/>
    </row>
    <row r="6" spans="1:14" ht="15" customHeight="1" x14ac:dyDescent="0.25">
      <c r="A6" s="75" t="s">
        <v>36</v>
      </c>
      <c r="B6" s="177"/>
      <c r="C6" s="177"/>
      <c r="D6" s="6"/>
      <c r="E6" s="7"/>
    </row>
    <row r="7" spans="1:14" ht="15" customHeight="1" x14ac:dyDescent="0.25">
      <c r="A7" s="7"/>
      <c r="B7" s="196" t="s">
        <v>34</v>
      </c>
      <c r="C7" s="196"/>
      <c r="D7" s="10"/>
    </row>
    <row r="8" spans="1:14" ht="20.100000000000001" customHeight="1" x14ac:dyDescent="0.25">
      <c r="B8" s="11"/>
      <c r="C8" s="11"/>
      <c r="D8" s="12" t="s">
        <v>31</v>
      </c>
      <c r="F8" s="180" t="s">
        <v>32</v>
      </c>
      <c r="G8" s="181"/>
      <c r="H8" s="182"/>
    </row>
    <row r="9" spans="1:14" s="14" customFormat="1" ht="20.100000000000001" customHeight="1" x14ac:dyDescent="0.25">
      <c r="A9" s="197"/>
      <c r="B9" s="197"/>
      <c r="C9" s="197"/>
      <c r="D9" s="13">
        <f>SUM(D27,D46,D65,D84,D103,D122,D141,D160)</f>
        <v>21510</v>
      </c>
      <c r="F9" s="15" t="s">
        <v>28</v>
      </c>
      <c r="G9" s="15" t="s">
        <v>29</v>
      </c>
      <c r="H9" s="15" t="s">
        <v>30</v>
      </c>
      <c r="I9" s="16"/>
      <c r="J9" s="16"/>
      <c r="K9" s="16"/>
      <c r="L9" s="16"/>
      <c r="M9" s="16"/>
      <c r="N9" s="16"/>
    </row>
    <row r="10" spans="1:14" s="17" customFormat="1" ht="23.1" customHeight="1" x14ac:dyDescent="0.3">
      <c r="A10" s="198" t="s">
        <v>51</v>
      </c>
      <c r="B10" s="198"/>
      <c r="C10" s="198"/>
      <c r="D10" s="198"/>
      <c r="F10" s="183" t="s">
        <v>66</v>
      </c>
      <c r="G10" s="184"/>
      <c r="H10" s="185"/>
      <c r="I10" s="18"/>
      <c r="J10" s="18"/>
      <c r="K10" s="18"/>
      <c r="L10" s="18"/>
      <c r="M10" s="19"/>
      <c r="N10" s="20"/>
    </row>
    <row r="11" spans="1:14" s="24" customFormat="1" ht="12.75" customHeight="1" x14ac:dyDescent="0.25">
      <c r="A11" s="21" t="s">
        <v>21</v>
      </c>
      <c r="B11" s="22" t="s">
        <v>22</v>
      </c>
      <c r="C11" s="22" t="s">
        <v>23</v>
      </c>
      <c r="D11" s="23" t="s">
        <v>25</v>
      </c>
      <c r="F11" s="186"/>
      <c r="G11" s="187"/>
      <c r="H11" s="188"/>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78" t="s">
        <v>53</v>
      </c>
      <c r="B27" s="179"/>
      <c r="C27" s="179"/>
      <c r="D27" s="96">
        <f>SUM(Grass_13[Amount])</f>
        <v>0</v>
      </c>
      <c r="F27" s="173" t="s">
        <v>33</v>
      </c>
      <c r="G27" s="174"/>
      <c r="H27" s="174"/>
      <c r="I27" s="35"/>
      <c r="J27" s="35"/>
      <c r="K27" s="35"/>
      <c r="L27" s="35"/>
      <c r="M27" s="36"/>
      <c r="N27" s="37"/>
    </row>
    <row r="28" spans="1:14" s="40" customFormat="1" ht="11.1" customHeight="1" x14ac:dyDescent="0.3">
      <c r="A28" s="38"/>
      <c r="B28" s="38"/>
      <c r="C28" s="38"/>
      <c r="D28" s="39"/>
      <c r="F28" s="173"/>
      <c r="G28" s="174"/>
      <c r="H28" s="174"/>
      <c r="I28" s="35"/>
      <c r="J28" s="35"/>
      <c r="K28" s="35"/>
      <c r="L28" s="35"/>
      <c r="M28" s="36"/>
      <c r="N28" s="37"/>
    </row>
    <row r="29" spans="1:14" s="17" customFormat="1" ht="23.1" customHeight="1" x14ac:dyDescent="0.3">
      <c r="A29" s="191" t="s">
        <v>67</v>
      </c>
      <c r="B29" s="192"/>
      <c r="C29" s="192"/>
      <c r="D29" s="193"/>
      <c r="F29" s="183" t="s">
        <v>52</v>
      </c>
      <c r="G29" s="184"/>
      <c r="H29" s="185"/>
      <c r="I29" s="18"/>
      <c r="J29" s="18"/>
      <c r="K29" s="18"/>
      <c r="L29" s="18"/>
      <c r="M29" s="19"/>
      <c r="N29" s="20"/>
    </row>
    <row r="30" spans="1:14" s="41" customFormat="1" ht="12.75" customHeight="1" x14ac:dyDescent="0.25">
      <c r="A30" s="21" t="s">
        <v>21</v>
      </c>
      <c r="B30" s="22" t="s">
        <v>22</v>
      </c>
      <c r="C30" s="22" t="s">
        <v>23</v>
      </c>
      <c r="D30" s="23" t="s">
        <v>25</v>
      </c>
      <c r="F30" s="186"/>
      <c r="G30" s="187"/>
      <c r="H30" s="188"/>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98"/>
      <c r="J44" s="29"/>
      <c r="K44" s="29"/>
      <c r="L44" s="98"/>
      <c r="M44" s="30"/>
      <c r="N44" s="16"/>
    </row>
    <row r="45" spans="1:14" x14ac:dyDescent="0.3">
      <c r="A45" s="106"/>
      <c r="B45" s="107"/>
      <c r="C45" s="107"/>
      <c r="D45" s="114"/>
      <c r="F45" s="103"/>
      <c r="G45" s="104"/>
      <c r="H45" s="109"/>
      <c r="I45" s="98"/>
      <c r="J45" s="29"/>
      <c r="K45" s="29"/>
      <c r="L45" s="98"/>
      <c r="M45" s="30"/>
      <c r="N45" s="16"/>
    </row>
    <row r="46" spans="1:14" s="34" customFormat="1" x14ac:dyDescent="0.3">
      <c r="A46" s="178" t="s">
        <v>54</v>
      </c>
      <c r="B46" s="179"/>
      <c r="C46" s="179"/>
      <c r="D46" s="96">
        <f>SUM(Tree_13[Amount])</f>
        <v>0</v>
      </c>
      <c r="F46" s="173" t="s">
        <v>33</v>
      </c>
      <c r="G46" s="174"/>
      <c r="H46" s="174"/>
      <c r="I46" s="43"/>
      <c r="J46" s="43"/>
      <c r="K46" s="43"/>
      <c r="L46" s="43"/>
      <c r="M46" s="36"/>
      <c r="N46" s="37"/>
    </row>
    <row r="47" spans="1:14" s="40" customFormat="1" ht="11.1" customHeight="1" x14ac:dyDescent="0.3">
      <c r="A47" s="38"/>
      <c r="B47" s="38"/>
      <c r="C47" s="38"/>
      <c r="D47" s="39"/>
      <c r="F47" s="173"/>
      <c r="G47" s="174"/>
      <c r="H47" s="174"/>
      <c r="I47" s="43"/>
      <c r="J47" s="43"/>
      <c r="K47" s="43"/>
      <c r="L47" s="43"/>
      <c r="M47" s="36"/>
      <c r="N47" s="37"/>
    </row>
    <row r="48" spans="1:14" s="17" customFormat="1" ht="23.1" customHeight="1" x14ac:dyDescent="0.3">
      <c r="A48" s="191" t="s">
        <v>68</v>
      </c>
      <c r="B48" s="192"/>
      <c r="C48" s="192"/>
      <c r="D48" s="193"/>
      <c r="F48" s="183" t="s">
        <v>55</v>
      </c>
      <c r="G48" s="184"/>
      <c r="H48" s="185"/>
      <c r="I48" s="44"/>
      <c r="J48" s="44"/>
      <c r="K48" s="44"/>
      <c r="L48" s="44"/>
      <c r="M48" s="19"/>
      <c r="N48" s="20"/>
    </row>
    <row r="49" spans="1:14" s="41" customFormat="1" ht="12.75" customHeight="1" x14ac:dyDescent="0.25">
      <c r="A49" s="21" t="s">
        <v>21</v>
      </c>
      <c r="B49" s="22" t="s">
        <v>22</v>
      </c>
      <c r="C49" s="22" t="s">
        <v>23</v>
      </c>
      <c r="D49" s="23" t="s">
        <v>25</v>
      </c>
      <c r="F49" s="186"/>
      <c r="G49" s="187"/>
      <c r="H49" s="188"/>
      <c r="I49" s="98"/>
      <c r="J49" s="98"/>
      <c r="K49" s="98"/>
      <c r="L49" s="98"/>
      <c r="M49" s="30"/>
      <c r="N49" s="42"/>
    </row>
    <row r="50" spans="1:14" x14ac:dyDescent="0.3">
      <c r="A50" s="100"/>
      <c r="B50" s="101"/>
      <c r="C50" s="101"/>
      <c r="D50" s="112"/>
      <c r="F50" s="103"/>
      <c r="G50" s="104"/>
      <c r="H50" s="109"/>
      <c r="I50" s="98"/>
      <c r="J50" s="98"/>
      <c r="K50" s="98"/>
      <c r="L50" s="98"/>
      <c r="M50" s="30"/>
      <c r="N50" s="16"/>
    </row>
    <row r="51" spans="1:14" x14ac:dyDescent="0.3">
      <c r="A51" s="106"/>
      <c r="B51" s="107"/>
      <c r="C51" s="107"/>
      <c r="D51" s="113"/>
      <c r="F51" s="103"/>
      <c r="G51" s="104"/>
      <c r="H51" s="109"/>
      <c r="I51" s="98"/>
      <c r="J51" s="98"/>
      <c r="K51" s="98"/>
      <c r="L51" s="98"/>
      <c r="M51" s="30"/>
      <c r="N51" s="16"/>
    </row>
    <row r="52" spans="1:14" x14ac:dyDescent="0.3">
      <c r="A52" s="106"/>
      <c r="B52" s="107"/>
      <c r="C52" s="107"/>
      <c r="D52" s="114"/>
      <c r="F52" s="103"/>
      <c r="H52" s="109"/>
      <c r="I52" s="98"/>
      <c r="J52" s="98"/>
      <c r="K52" s="98"/>
      <c r="L52" s="98"/>
      <c r="M52" s="30"/>
      <c r="N52" s="16"/>
    </row>
    <row r="53" spans="1:14" x14ac:dyDescent="0.3">
      <c r="A53" s="106"/>
      <c r="B53" s="107"/>
      <c r="C53" s="107"/>
      <c r="D53" s="113"/>
      <c r="F53" s="103"/>
      <c r="G53" s="104"/>
      <c r="H53" s="109"/>
      <c r="I53" s="98"/>
      <c r="J53" s="98"/>
      <c r="K53" s="98"/>
      <c r="L53" s="98"/>
      <c r="M53" s="30"/>
      <c r="N53" s="16"/>
    </row>
    <row r="54" spans="1:14" x14ac:dyDescent="0.3">
      <c r="A54" s="106"/>
      <c r="B54" s="107"/>
      <c r="C54" s="107"/>
      <c r="D54" s="114"/>
      <c r="F54" s="103"/>
      <c r="G54" s="104"/>
      <c r="H54" s="109"/>
      <c r="I54" s="98"/>
      <c r="J54" s="98"/>
      <c r="K54" s="98"/>
      <c r="L54" s="98"/>
      <c r="M54" s="30"/>
      <c r="N54" s="16"/>
    </row>
    <row r="55" spans="1:14" x14ac:dyDescent="0.3">
      <c r="A55" s="106"/>
      <c r="B55" s="107"/>
      <c r="C55" s="107"/>
      <c r="D55" s="113"/>
      <c r="F55" s="103"/>
      <c r="G55" s="104"/>
      <c r="H55" s="109"/>
      <c r="I55" s="98"/>
      <c r="J55" s="98"/>
      <c r="K55" s="98"/>
      <c r="L55" s="98"/>
      <c r="M55" s="30"/>
      <c r="N55" s="16"/>
    </row>
    <row r="56" spans="1:14" x14ac:dyDescent="0.3">
      <c r="A56" s="106"/>
      <c r="B56" s="107"/>
      <c r="C56" s="107"/>
      <c r="D56" s="114"/>
      <c r="F56" s="103"/>
      <c r="G56" s="104"/>
      <c r="H56" s="109"/>
      <c r="I56" s="98"/>
      <c r="J56" s="98"/>
      <c r="K56" s="98"/>
      <c r="L56" s="98"/>
      <c r="M56" s="30"/>
      <c r="N56" s="16"/>
    </row>
    <row r="57" spans="1:14" x14ac:dyDescent="0.3">
      <c r="A57" s="106"/>
      <c r="B57" s="107"/>
      <c r="C57" s="107"/>
      <c r="D57" s="113"/>
      <c r="F57" s="103"/>
      <c r="G57" s="104"/>
      <c r="H57" s="109"/>
      <c r="I57" s="98"/>
      <c r="J57" s="98"/>
      <c r="K57" s="98"/>
      <c r="L57" s="98"/>
      <c r="M57" s="30"/>
      <c r="N57" s="16"/>
    </row>
    <row r="58" spans="1:14" x14ac:dyDescent="0.3">
      <c r="A58" s="106"/>
      <c r="B58" s="107"/>
      <c r="C58" s="107"/>
      <c r="D58" s="114"/>
      <c r="F58" s="103"/>
      <c r="G58" s="104"/>
      <c r="H58" s="109"/>
      <c r="I58" s="98"/>
      <c r="J58" s="98"/>
      <c r="K58" s="98"/>
      <c r="L58" s="98"/>
      <c r="M58" s="30"/>
      <c r="N58" s="16"/>
    </row>
    <row r="59" spans="1:14" x14ac:dyDescent="0.3">
      <c r="A59" s="106"/>
      <c r="B59" s="107"/>
      <c r="C59" s="107"/>
      <c r="D59" s="113"/>
      <c r="F59" s="103"/>
      <c r="G59" s="104"/>
      <c r="H59" s="109"/>
      <c r="I59" s="98"/>
      <c r="J59" s="190"/>
      <c r="K59" s="190"/>
      <c r="L59" s="98"/>
      <c r="M59" s="30"/>
      <c r="N59" s="16"/>
    </row>
    <row r="60" spans="1:14" x14ac:dyDescent="0.3">
      <c r="A60" s="106"/>
      <c r="B60" s="107"/>
      <c r="C60" s="107"/>
      <c r="D60" s="114"/>
      <c r="F60" s="103"/>
      <c r="G60" s="104"/>
      <c r="H60" s="109"/>
      <c r="I60" s="189"/>
      <c r="J60" s="189"/>
      <c r="K60" s="189"/>
      <c r="L60" s="189"/>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78" t="s">
        <v>56</v>
      </c>
      <c r="B65" s="179"/>
      <c r="C65" s="179"/>
      <c r="D65" s="96">
        <f>SUM(Pest_13[Amount])</f>
        <v>0</v>
      </c>
      <c r="F65" s="173" t="s">
        <v>33</v>
      </c>
      <c r="G65" s="174"/>
      <c r="H65" s="174"/>
    </row>
    <row r="66" spans="1:8" x14ac:dyDescent="0.3">
      <c r="F66" s="173"/>
      <c r="G66" s="174"/>
      <c r="H66" s="174"/>
    </row>
    <row r="67" spans="1:8" ht="17.399999999999999" x14ac:dyDescent="0.3">
      <c r="A67" s="198" t="s">
        <v>69</v>
      </c>
      <c r="B67" s="198"/>
      <c r="C67" s="198"/>
      <c r="D67" s="198"/>
      <c r="E67" s="17"/>
      <c r="F67" s="183" t="s">
        <v>57</v>
      </c>
      <c r="G67" s="184"/>
      <c r="H67" s="185"/>
    </row>
    <row r="68" spans="1:8" x14ac:dyDescent="0.3">
      <c r="A68" s="21" t="s">
        <v>21</v>
      </c>
      <c r="B68" s="22" t="s">
        <v>22</v>
      </c>
      <c r="C68" s="22" t="s">
        <v>23</v>
      </c>
      <c r="D68" s="23" t="s">
        <v>25</v>
      </c>
      <c r="E68" s="24"/>
      <c r="F68" s="186"/>
      <c r="G68" s="187"/>
      <c r="H68" s="188"/>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78" t="s">
        <v>58</v>
      </c>
      <c r="B84" s="179"/>
      <c r="C84" s="179"/>
      <c r="D84" s="96">
        <f>SUM(Garbage_13[Amount])</f>
        <v>0</v>
      </c>
      <c r="E84" s="34"/>
      <c r="F84" s="173" t="s">
        <v>33</v>
      </c>
      <c r="G84" s="174"/>
      <c r="H84" s="174"/>
    </row>
    <row r="85" spans="1:8" x14ac:dyDescent="0.3">
      <c r="A85" s="38"/>
      <c r="B85" s="38"/>
      <c r="C85" s="38"/>
      <c r="D85" s="39"/>
      <c r="E85" s="40"/>
      <c r="F85" s="173"/>
      <c r="G85" s="174"/>
      <c r="H85" s="174"/>
    </row>
    <row r="86" spans="1:8" ht="17.399999999999999" x14ac:dyDescent="0.3">
      <c r="A86" s="191" t="s">
        <v>59</v>
      </c>
      <c r="B86" s="192"/>
      <c r="C86" s="192"/>
      <c r="D86" s="193"/>
      <c r="E86" s="17"/>
      <c r="F86" s="183" t="s">
        <v>60</v>
      </c>
      <c r="G86" s="184"/>
      <c r="H86" s="185"/>
    </row>
    <row r="87" spans="1:8" x14ac:dyDescent="0.3">
      <c r="A87" s="21" t="s">
        <v>21</v>
      </c>
      <c r="B87" s="22" t="s">
        <v>22</v>
      </c>
      <c r="C87" s="22" t="s">
        <v>23</v>
      </c>
      <c r="D87" s="23" t="s">
        <v>25</v>
      </c>
      <c r="E87" s="41"/>
      <c r="F87" s="186"/>
      <c r="G87" s="187"/>
      <c r="H87" s="188"/>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78" t="s">
        <v>61</v>
      </c>
      <c r="B103" s="179"/>
      <c r="C103" s="179"/>
      <c r="D103" s="96">
        <f>SUM(Boarding_13[Amount])</f>
        <v>0</v>
      </c>
      <c r="E103" s="34"/>
      <c r="F103" s="173" t="s">
        <v>33</v>
      </c>
      <c r="G103" s="174"/>
      <c r="H103" s="174"/>
    </row>
    <row r="104" spans="1:8" x14ac:dyDescent="0.3">
      <c r="A104" s="38"/>
      <c r="B104" s="38"/>
      <c r="C104" s="38"/>
      <c r="D104" s="39"/>
      <c r="E104" s="40"/>
      <c r="F104" s="173"/>
      <c r="G104" s="174"/>
      <c r="H104" s="174"/>
    </row>
    <row r="105" spans="1:8" ht="17.399999999999999" x14ac:dyDescent="0.3">
      <c r="A105" s="191" t="s">
        <v>70</v>
      </c>
      <c r="B105" s="192"/>
      <c r="C105" s="192"/>
      <c r="D105" s="193"/>
      <c r="E105" s="17"/>
      <c r="F105" s="183" t="s">
        <v>62</v>
      </c>
      <c r="G105" s="184"/>
      <c r="H105" s="185"/>
    </row>
    <row r="106" spans="1:8" x14ac:dyDescent="0.3">
      <c r="A106" s="21" t="s">
        <v>21</v>
      </c>
      <c r="B106" s="22" t="s">
        <v>22</v>
      </c>
      <c r="C106" s="22" t="s">
        <v>23</v>
      </c>
      <c r="D106" s="23" t="s">
        <v>25</v>
      </c>
      <c r="E106" s="41"/>
      <c r="F106" s="186"/>
      <c r="G106" s="187"/>
      <c r="H106" s="188"/>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78" t="s">
        <v>63</v>
      </c>
      <c r="B122" s="179"/>
      <c r="C122" s="179"/>
      <c r="D122" s="96">
        <f>SUM(Fence_13[Amount])</f>
        <v>0</v>
      </c>
      <c r="E122" s="34"/>
      <c r="F122" s="173" t="s">
        <v>33</v>
      </c>
      <c r="G122" s="174"/>
      <c r="H122" s="174"/>
    </row>
    <row r="123" spans="1:8" x14ac:dyDescent="0.3">
      <c r="F123" s="173"/>
      <c r="G123" s="174"/>
      <c r="H123" s="174"/>
    </row>
    <row r="124" spans="1:8" ht="17.399999999999999" x14ac:dyDescent="0.3">
      <c r="A124" s="191" t="s">
        <v>26</v>
      </c>
      <c r="B124" s="192"/>
      <c r="C124" s="192"/>
      <c r="D124" s="193"/>
      <c r="E124" s="17"/>
      <c r="F124" s="183" t="s">
        <v>11</v>
      </c>
      <c r="G124" s="184"/>
      <c r="H124" s="185"/>
    </row>
    <row r="125" spans="1:8" x14ac:dyDescent="0.3">
      <c r="A125" s="21" t="s">
        <v>21</v>
      </c>
      <c r="B125" s="22" t="s">
        <v>22</v>
      </c>
      <c r="C125" s="22" t="s">
        <v>23</v>
      </c>
      <c r="D125" s="23" t="s">
        <v>25</v>
      </c>
      <c r="E125" s="41"/>
      <c r="F125" s="186"/>
      <c r="G125" s="187"/>
      <c r="H125" s="188"/>
    </row>
    <row r="126" spans="1:8" x14ac:dyDescent="0.3">
      <c r="A126" s="100"/>
      <c r="B126" s="101"/>
      <c r="C126" s="101"/>
      <c r="D126" s="152">
        <v>21510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78" t="s">
        <v>27</v>
      </c>
      <c r="B141" s="179"/>
      <c r="C141" s="179"/>
      <c r="D141" s="96">
        <f>SUM(Demolition_13[Amount])</f>
        <v>21510</v>
      </c>
      <c r="E141" s="34"/>
      <c r="F141" s="173" t="s">
        <v>33</v>
      </c>
      <c r="G141" s="174"/>
      <c r="H141" s="174"/>
    </row>
    <row r="142" spans="1:8" x14ac:dyDescent="0.3">
      <c r="A142" s="38"/>
      <c r="B142" s="38"/>
      <c r="C142" s="38"/>
      <c r="D142" s="39"/>
      <c r="E142" s="40"/>
      <c r="F142" s="173"/>
      <c r="G142" s="174"/>
      <c r="H142" s="174"/>
    </row>
    <row r="143" spans="1:8" ht="17.399999999999999" x14ac:dyDescent="0.3">
      <c r="A143" s="191" t="s">
        <v>64</v>
      </c>
      <c r="B143" s="192"/>
      <c r="C143" s="192"/>
      <c r="D143" s="193"/>
      <c r="E143" s="17"/>
      <c r="F143" s="183" t="s">
        <v>44</v>
      </c>
      <c r="G143" s="184"/>
      <c r="H143" s="185"/>
    </row>
    <row r="144" spans="1:8" x14ac:dyDescent="0.3">
      <c r="A144" s="21" t="s">
        <v>21</v>
      </c>
      <c r="B144" s="22" t="s">
        <v>22</v>
      </c>
      <c r="C144" s="22" t="s">
        <v>23</v>
      </c>
      <c r="D144" s="23" t="s">
        <v>25</v>
      </c>
      <c r="E144" s="41"/>
      <c r="F144" s="186"/>
      <c r="G144" s="187"/>
      <c r="H144" s="188"/>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78" t="s">
        <v>65</v>
      </c>
      <c r="B160" s="179"/>
      <c r="C160" s="179"/>
      <c r="D160" s="96">
        <f>SUM(Rehab_13[Amount])</f>
        <v>0</v>
      </c>
      <c r="E160" s="34"/>
      <c r="F160" s="173" t="s">
        <v>33</v>
      </c>
      <c r="G160" s="174"/>
      <c r="H160" s="174"/>
    </row>
    <row r="161" spans="6:8" x14ac:dyDescent="0.3">
      <c r="F161" s="173"/>
      <c r="G161" s="174"/>
      <c r="H161" s="174"/>
    </row>
  </sheetData>
  <sheetProtection algorithmName="SHA-512" hashValue="9Sxy1KDFovRGBCD3j5AsOZiyNX+z+zNsPCPkih5TBkxVDtWdDeQlmJAinslPnrDJtPQDw6Owg9HQkRC+I4xByQ==" saltValue="dJxHp7bQVrLpiUPK0BbWTQ=="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N161"/>
  <sheetViews>
    <sheetView showGridLines="0" zoomScaleNormal="100" workbookViewId="0">
      <pane ySplit="9" topLeftCell="A118" activePane="bottomLeft" state="frozen"/>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5" t="s">
        <v>24</v>
      </c>
      <c r="B1" s="175"/>
      <c r="C1" s="175"/>
      <c r="D1" s="175"/>
      <c r="E1" s="1"/>
      <c r="F1" s="2"/>
      <c r="G1" s="2"/>
      <c r="H1" s="1"/>
    </row>
    <row r="2" spans="1:14" ht="24.9" customHeight="1" x14ac:dyDescent="0.3">
      <c r="A2" s="176" t="s">
        <v>71</v>
      </c>
      <c r="B2" s="176"/>
      <c r="C2" s="176"/>
      <c r="D2" s="176"/>
      <c r="E2" s="4"/>
      <c r="F2" s="97"/>
      <c r="G2" s="97"/>
      <c r="H2" s="5"/>
    </row>
    <row r="3" spans="1:14" ht="31.5" customHeight="1" x14ac:dyDescent="0.3">
      <c r="A3" s="176"/>
      <c r="B3" s="176"/>
      <c r="C3" s="176"/>
      <c r="D3" s="176"/>
      <c r="E3" s="4"/>
      <c r="F3" s="97"/>
      <c r="G3" s="97"/>
      <c r="H3" s="5"/>
    </row>
    <row r="4" spans="1:14" ht="15" customHeight="1" x14ac:dyDescent="0.25">
      <c r="A4" s="75" t="s">
        <v>19</v>
      </c>
      <c r="B4" s="194" t="str">
        <f>IF('Summary Sheet'!B46="","",'Summary Sheet'!B46)</f>
        <v>133 N KARLOV AVE</v>
      </c>
      <c r="C4" s="194"/>
      <c r="D4" s="97"/>
      <c r="E4" s="4"/>
      <c r="F4" s="97"/>
      <c r="G4" s="97"/>
      <c r="H4" s="5"/>
    </row>
    <row r="5" spans="1:14" ht="15" customHeight="1" x14ac:dyDescent="0.25">
      <c r="A5" s="75" t="s">
        <v>20</v>
      </c>
      <c r="B5" s="195" t="str">
        <f>IF('Summary Sheet'!C46="","",'Summary Sheet'!C46)</f>
        <v/>
      </c>
      <c r="C5" s="195"/>
      <c r="D5" s="97"/>
      <c r="E5" s="4"/>
      <c r="F5" s="97"/>
      <c r="G5" s="97"/>
      <c r="H5" s="5"/>
    </row>
    <row r="6" spans="1:14" ht="15" customHeight="1" x14ac:dyDescent="0.25">
      <c r="A6" s="75" t="s">
        <v>36</v>
      </c>
      <c r="B6" s="177"/>
      <c r="C6" s="177"/>
      <c r="D6" s="6"/>
      <c r="E6" s="7"/>
    </row>
    <row r="7" spans="1:14" ht="15" customHeight="1" x14ac:dyDescent="0.25">
      <c r="A7" s="7"/>
      <c r="B7" s="196" t="s">
        <v>34</v>
      </c>
      <c r="C7" s="196"/>
      <c r="D7" s="10"/>
    </row>
    <row r="8" spans="1:14" ht="20.100000000000001" customHeight="1" x14ac:dyDescent="0.25">
      <c r="B8" s="11"/>
      <c r="C8" s="11"/>
      <c r="D8" s="12" t="s">
        <v>31</v>
      </c>
      <c r="F8" s="180" t="s">
        <v>32</v>
      </c>
      <c r="G8" s="181"/>
      <c r="H8" s="182"/>
    </row>
    <row r="9" spans="1:14" s="14" customFormat="1" ht="20.100000000000001" customHeight="1" x14ac:dyDescent="0.25">
      <c r="A9" s="197"/>
      <c r="B9" s="197"/>
      <c r="C9" s="197"/>
      <c r="D9" s="13">
        <f>SUM(D27,D46,D65,D84,D103,D122,D141,D160)</f>
        <v>21210</v>
      </c>
      <c r="F9" s="15" t="s">
        <v>28</v>
      </c>
      <c r="G9" s="15" t="s">
        <v>29</v>
      </c>
      <c r="H9" s="15" t="s">
        <v>30</v>
      </c>
      <c r="I9" s="16"/>
      <c r="J9" s="16"/>
      <c r="K9" s="16"/>
      <c r="L9" s="16"/>
      <c r="M9" s="16"/>
      <c r="N9" s="16"/>
    </row>
    <row r="10" spans="1:14" s="17" customFormat="1" ht="23.1" customHeight="1" x14ac:dyDescent="0.3">
      <c r="A10" s="198" t="s">
        <v>51</v>
      </c>
      <c r="B10" s="198"/>
      <c r="C10" s="198"/>
      <c r="D10" s="198"/>
      <c r="F10" s="183" t="s">
        <v>66</v>
      </c>
      <c r="G10" s="184"/>
      <c r="H10" s="185"/>
      <c r="I10" s="18"/>
      <c r="J10" s="18"/>
      <c r="K10" s="18"/>
      <c r="L10" s="18"/>
      <c r="M10" s="19"/>
      <c r="N10" s="20"/>
    </row>
    <row r="11" spans="1:14" s="24" customFormat="1" ht="12.75" customHeight="1" x14ac:dyDescent="0.25">
      <c r="A11" s="21" t="s">
        <v>21</v>
      </c>
      <c r="B11" s="22" t="s">
        <v>22</v>
      </c>
      <c r="C11" s="22" t="s">
        <v>23</v>
      </c>
      <c r="D11" s="23" t="s">
        <v>25</v>
      </c>
      <c r="F11" s="186"/>
      <c r="G11" s="187"/>
      <c r="H11" s="188"/>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78" t="s">
        <v>53</v>
      </c>
      <c r="B27" s="179"/>
      <c r="C27" s="179"/>
      <c r="D27" s="96">
        <f>SUM(Grass_14[Amount])</f>
        <v>0</v>
      </c>
      <c r="F27" s="173" t="s">
        <v>33</v>
      </c>
      <c r="G27" s="174"/>
      <c r="H27" s="174"/>
      <c r="I27" s="35"/>
      <c r="J27" s="35"/>
      <c r="K27" s="35"/>
      <c r="L27" s="35"/>
      <c r="M27" s="36"/>
      <c r="N27" s="37"/>
    </row>
    <row r="28" spans="1:14" s="40" customFormat="1" ht="11.1" customHeight="1" x14ac:dyDescent="0.3">
      <c r="A28" s="38"/>
      <c r="B28" s="38"/>
      <c r="C28" s="38"/>
      <c r="D28" s="39"/>
      <c r="F28" s="173"/>
      <c r="G28" s="174"/>
      <c r="H28" s="174"/>
      <c r="I28" s="35"/>
      <c r="J28" s="35"/>
      <c r="K28" s="35"/>
      <c r="L28" s="35"/>
      <c r="M28" s="36"/>
      <c r="N28" s="37"/>
    </row>
    <row r="29" spans="1:14" s="17" customFormat="1" ht="23.1" customHeight="1" x14ac:dyDescent="0.3">
      <c r="A29" s="191" t="s">
        <v>67</v>
      </c>
      <c r="B29" s="192"/>
      <c r="C29" s="192"/>
      <c r="D29" s="193"/>
      <c r="F29" s="183" t="s">
        <v>52</v>
      </c>
      <c r="G29" s="184"/>
      <c r="H29" s="185"/>
      <c r="I29" s="18"/>
      <c r="J29" s="18"/>
      <c r="K29" s="18"/>
      <c r="L29" s="18"/>
      <c r="M29" s="19"/>
      <c r="N29" s="20"/>
    </row>
    <row r="30" spans="1:14" s="41" customFormat="1" ht="12.75" customHeight="1" x14ac:dyDescent="0.25">
      <c r="A30" s="21" t="s">
        <v>21</v>
      </c>
      <c r="B30" s="22" t="s">
        <v>22</v>
      </c>
      <c r="C30" s="22" t="s">
        <v>23</v>
      </c>
      <c r="D30" s="23" t="s">
        <v>25</v>
      </c>
      <c r="F30" s="186"/>
      <c r="G30" s="187"/>
      <c r="H30" s="188"/>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98"/>
      <c r="J44" s="29"/>
      <c r="K44" s="29"/>
      <c r="L44" s="98"/>
      <c r="M44" s="30"/>
      <c r="N44" s="16"/>
    </row>
    <row r="45" spans="1:14" x14ac:dyDescent="0.3">
      <c r="A45" s="106"/>
      <c r="B45" s="107"/>
      <c r="C45" s="107"/>
      <c r="D45" s="114"/>
      <c r="F45" s="103"/>
      <c r="G45" s="104"/>
      <c r="H45" s="109"/>
      <c r="I45" s="98"/>
      <c r="J45" s="29"/>
      <c r="K45" s="29"/>
      <c r="L45" s="98"/>
      <c r="M45" s="30"/>
      <c r="N45" s="16"/>
    </row>
    <row r="46" spans="1:14" s="34" customFormat="1" x14ac:dyDescent="0.3">
      <c r="A46" s="178" t="s">
        <v>54</v>
      </c>
      <c r="B46" s="179"/>
      <c r="C46" s="179"/>
      <c r="D46" s="96">
        <f>SUM(Tree_14[Amount])</f>
        <v>0</v>
      </c>
      <c r="F46" s="173" t="s">
        <v>33</v>
      </c>
      <c r="G46" s="174"/>
      <c r="H46" s="174"/>
      <c r="I46" s="43"/>
      <c r="J46" s="43"/>
      <c r="K46" s="43"/>
      <c r="L46" s="43"/>
      <c r="M46" s="36"/>
      <c r="N46" s="37"/>
    </row>
    <row r="47" spans="1:14" s="40" customFormat="1" ht="11.1" customHeight="1" x14ac:dyDescent="0.3">
      <c r="A47" s="38"/>
      <c r="B47" s="38"/>
      <c r="C47" s="38"/>
      <c r="D47" s="39"/>
      <c r="F47" s="173"/>
      <c r="G47" s="174"/>
      <c r="H47" s="174"/>
      <c r="I47" s="43"/>
      <c r="J47" s="43"/>
      <c r="K47" s="43"/>
      <c r="L47" s="43"/>
      <c r="M47" s="36"/>
      <c r="N47" s="37"/>
    </row>
    <row r="48" spans="1:14" s="17" customFormat="1" ht="23.1" customHeight="1" x14ac:dyDescent="0.3">
      <c r="A48" s="191" t="s">
        <v>68</v>
      </c>
      <c r="B48" s="192"/>
      <c r="C48" s="192"/>
      <c r="D48" s="193"/>
      <c r="F48" s="183" t="s">
        <v>55</v>
      </c>
      <c r="G48" s="184"/>
      <c r="H48" s="185"/>
      <c r="I48" s="44"/>
      <c r="J48" s="44"/>
      <c r="K48" s="44"/>
      <c r="L48" s="44"/>
      <c r="M48" s="19"/>
      <c r="N48" s="20"/>
    </row>
    <row r="49" spans="1:14" s="41" customFormat="1" ht="12.75" customHeight="1" x14ac:dyDescent="0.25">
      <c r="A49" s="21" t="s">
        <v>21</v>
      </c>
      <c r="B49" s="22" t="s">
        <v>22</v>
      </c>
      <c r="C49" s="22" t="s">
        <v>23</v>
      </c>
      <c r="D49" s="23" t="s">
        <v>25</v>
      </c>
      <c r="F49" s="186"/>
      <c r="G49" s="187"/>
      <c r="H49" s="188"/>
      <c r="I49" s="98"/>
      <c r="J49" s="98"/>
      <c r="K49" s="98"/>
      <c r="L49" s="98"/>
      <c r="M49" s="30"/>
      <c r="N49" s="42"/>
    </row>
    <row r="50" spans="1:14" x14ac:dyDescent="0.3">
      <c r="A50" s="100"/>
      <c r="B50" s="101"/>
      <c r="C50" s="101"/>
      <c r="D50" s="112"/>
      <c r="F50" s="103"/>
      <c r="G50" s="104"/>
      <c r="H50" s="109"/>
      <c r="I50" s="98"/>
      <c r="J50" s="98"/>
      <c r="K50" s="98"/>
      <c r="L50" s="98"/>
      <c r="M50" s="30"/>
      <c r="N50" s="16"/>
    </row>
    <row r="51" spans="1:14" x14ac:dyDescent="0.3">
      <c r="A51" s="106"/>
      <c r="B51" s="107"/>
      <c r="C51" s="107"/>
      <c r="D51" s="113"/>
      <c r="F51" s="103"/>
      <c r="G51" s="104"/>
      <c r="H51" s="109"/>
      <c r="I51" s="98"/>
      <c r="J51" s="98"/>
      <c r="K51" s="98"/>
      <c r="L51" s="98"/>
      <c r="M51" s="30"/>
      <c r="N51" s="16"/>
    </row>
    <row r="52" spans="1:14" x14ac:dyDescent="0.3">
      <c r="A52" s="106"/>
      <c r="B52" s="107"/>
      <c r="C52" s="107"/>
      <c r="D52" s="114"/>
      <c r="F52" s="103"/>
      <c r="H52" s="109"/>
      <c r="I52" s="98"/>
      <c r="J52" s="98"/>
      <c r="K52" s="98"/>
      <c r="L52" s="98"/>
      <c r="M52" s="30"/>
      <c r="N52" s="16"/>
    </row>
    <row r="53" spans="1:14" x14ac:dyDescent="0.3">
      <c r="A53" s="106"/>
      <c r="B53" s="107"/>
      <c r="C53" s="107"/>
      <c r="D53" s="113"/>
      <c r="F53" s="103"/>
      <c r="G53" s="104"/>
      <c r="H53" s="109"/>
      <c r="I53" s="98"/>
      <c r="J53" s="98"/>
      <c r="K53" s="98"/>
      <c r="L53" s="98"/>
      <c r="M53" s="30"/>
      <c r="N53" s="16"/>
    </row>
    <row r="54" spans="1:14" x14ac:dyDescent="0.3">
      <c r="A54" s="106"/>
      <c r="B54" s="107"/>
      <c r="C54" s="107"/>
      <c r="D54" s="114"/>
      <c r="F54" s="103"/>
      <c r="G54" s="104"/>
      <c r="H54" s="109"/>
      <c r="I54" s="98"/>
      <c r="J54" s="98"/>
      <c r="K54" s="98"/>
      <c r="L54" s="98"/>
      <c r="M54" s="30"/>
      <c r="N54" s="16"/>
    </row>
    <row r="55" spans="1:14" x14ac:dyDescent="0.3">
      <c r="A55" s="106"/>
      <c r="B55" s="107"/>
      <c r="C55" s="107"/>
      <c r="D55" s="113"/>
      <c r="F55" s="103"/>
      <c r="G55" s="104"/>
      <c r="H55" s="109"/>
      <c r="I55" s="98"/>
      <c r="J55" s="98"/>
      <c r="K55" s="98"/>
      <c r="L55" s="98"/>
      <c r="M55" s="30"/>
      <c r="N55" s="16"/>
    </row>
    <row r="56" spans="1:14" x14ac:dyDescent="0.3">
      <c r="A56" s="106"/>
      <c r="B56" s="107"/>
      <c r="C56" s="107"/>
      <c r="D56" s="114"/>
      <c r="F56" s="103"/>
      <c r="G56" s="104"/>
      <c r="H56" s="109"/>
      <c r="I56" s="98"/>
      <c r="J56" s="98"/>
      <c r="K56" s="98"/>
      <c r="L56" s="98"/>
      <c r="M56" s="30"/>
      <c r="N56" s="16"/>
    </row>
    <row r="57" spans="1:14" x14ac:dyDescent="0.3">
      <c r="A57" s="106"/>
      <c r="B57" s="107"/>
      <c r="C57" s="107"/>
      <c r="D57" s="113"/>
      <c r="F57" s="103"/>
      <c r="G57" s="104"/>
      <c r="H57" s="109"/>
      <c r="I57" s="98"/>
      <c r="J57" s="98"/>
      <c r="K57" s="98"/>
      <c r="L57" s="98"/>
      <c r="M57" s="30"/>
      <c r="N57" s="16"/>
    </row>
    <row r="58" spans="1:14" x14ac:dyDescent="0.3">
      <c r="A58" s="106"/>
      <c r="B58" s="107"/>
      <c r="C58" s="107"/>
      <c r="D58" s="114"/>
      <c r="F58" s="103"/>
      <c r="G58" s="104"/>
      <c r="H58" s="109"/>
      <c r="I58" s="98"/>
      <c r="J58" s="98"/>
      <c r="K58" s="98"/>
      <c r="L58" s="98"/>
      <c r="M58" s="30"/>
      <c r="N58" s="16"/>
    </row>
    <row r="59" spans="1:14" x14ac:dyDescent="0.3">
      <c r="A59" s="106"/>
      <c r="B59" s="107"/>
      <c r="C59" s="107"/>
      <c r="D59" s="113"/>
      <c r="F59" s="103"/>
      <c r="G59" s="104"/>
      <c r="H59" s="109"/>
      <c r="I59" s="98"/>
      <c r="J59" s="190"/>
      <c r="K59" s="190"/>
      <c r="L59" s="98"/>
      <c r="M59" s="30"/>
      <c r="N59" s="16"/>
    </row>
    <row r="60" spans="1:14" x14ac:dyDescent="0.3">
      <c r="A60" s="106"/>
      <c r="B60" s="107"/>
      <c r="C60" s="107"/>
      <c r="D60" s="114"/>
      <c r="F60" s="103"/>
      <c r="G60" s="104"/>
      <c r="H60" s="109"/>
      <c r="I60" s="189"/>
      <c r="J60" s="189"/>
      <c r="K60" s="189"/>
      <c r="L60" s="189"/>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78" t="s">
        <v>56</v>
      </c>
      <c r="B65" s="179"/>
      <c r="C65" s="179"/>
      <c r="D65" s="96">
        <f>SUM(Pest_14[Amount])</f>
        <v>0</v>
      </c>
      <c r="F65" s="173" t="s">
        <v>33</v>
      </c>
      <c r="G65" s="174"/>
      <c r="H65" s="174"/>
    </row>
    <row r="66" spans="1:8" x14ac:dyDescent="0.3">
      <c r="F66" s="173"/>
      <c r="G66" s="174"/>
      <c r="H66" s="174"/>
    </row>
    <row r="67" spans="1:8" ht="17.399999999999999" x14ac:dyDescent="0.3">
      <c r="A67" s="198" t="s">
        <v>69</v>
      </c>
      <c r="B67" s="198"/>
      <c r="C67" s="198"/>
      <c r="D67" s="198"/>
      <c r="E67" s="17"/>
      <c r="F67" s="183" t="s">
        <v>57</v>
      </c>
      <c r="G67" s="184"/>
      <c r="H67" s="185"/>
    </row>
    <row r="68" spans="1:8" x14ac:dyDescent="0.3">
      <c r="A68" s="21" t="s">
        <v>21</v>
      </c>
      <c r="B68" s="22" t="s">
        <v>22</v>
      </c>
      <c r="C68" s="22" t="s">
        <v>23</v>
      </c>
      <c r="D68" s="23" t="s">
        <v>25</v>
      </c>
      <c r="E68" s="24"/>
      <c r="F68" s="186"/>
      <c r="G68" s="187"/>
      <c r="H68" s="188"/>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78" t="s">
        <v>58</v>
      </c>
      <c r="B84" s="179"/>
      <c r="C84" s="179"/>
      <c r="D84" s="96">
        <f>SUM(Garbage_14[Amount])</f>
        <v>0</v>
      </c>
      <c r="E84" s="34"/>
      <c r="F84" s="173" t="s">
        <v>33</v>
      </c>
      <c r="G84" s="174"/>
      <c r="H84" s="174"/>
    </row>
    <row r="85" spans="1:8" x14ac:dyDescent="0.3">
      <c r="A85" s="38"/>
      <c r="B85" s="38"/>
      <c r="C85" s="38"/>
      <c r="D85" s="39"/>
      <c r="E85" s="40"/>
      <c r="F85" s="173"/>
      <c r="G85" s="174"/>
      <c r="H85" s="174"/>
    </row>
    <row r="86" spans="1:8" ht="17.399999999999999" x14ac:dyDescent="0.3">
      <c r="A86" s="191" t="s">
        <v>59</v>
      </c>
      <c r="B86" s="192"/>
      <c r="C86" s="192"/>
      <c r="D86" s="193"/>
      <c r="E86" s="17"/>
      <c r="F86" s="183" t="s">
        <v>60</v>
      </c>
      <c r="G86" s="184"/>
      <c r="H86" s="185"/>
    </row>
    <row r="87" spans="1:8" x14ac:dyDescent="0.3">
      <c r="A87" s="21" t="s">
        <v>21</v>
      </c>
      <c r="B87" s="22" t="s">
        <v>22</v>
      </c>
      <c r="C87" s="22" t="s">
        <v>23</v>
      </c>
      <c r="D87" s="23" t="s">
        <v>25</v>
      </c>
      <c r="E87" s="41"/>
      <c r="F87" s="186"/>
      <c r="G87" s="187"/>
      <c r="H87" s="188"/>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78" t="s">
        <v>61</v>
      </c>
      <c r="B103" s="179"/>
      <c r="C103" s="179"/>
      <c r="D103" s="96">
        <f>SUM(Boarding_14[Amount])</f>
        <v>0</v>
      </c>
      <c r="E103" s="34"/>
      <c r="F103" s="173" t="s">
        <v>33</v>
      </c>
      <c r="G103" s="174"/>
      <c r="H103" s="174"/>
    </row>
    <row r="104" spans="1:8" x14ac:dyDescent="0.3">
      <c r="A104" s="38"/>
      <c r="B104" s="38"/>
      <c r="C104" s="38"/>
      <c r="D104" s="39"/>
      <c r="E104" s="40"/>
      <c r="F104" s="173"/>
      <c r="G104" s="174"/>
      <c r="H104" s="174"/>
    </row>
    <row r="105" spans="1:8" ht="17.399999999999999" x14ac:dyDescent="0.3">
      <c r="A105" s="191" t="s">
        <v>70</v>
      </c>
      <c r="B105" s="192"/>
      <c r="C105" s="192"/>
      <c r="D105" s="193"/>
      <c r="E105" s="17"/>
      <c r="F105" s="183" t="s">
        <v>62</v>
      </c>
      <c r="G105" s="184"/>
      <c r="H105" s="185"/>
    </row>
    <row r="106" spans="1:8" x14ac:dyDescent="0.3">
      <c r="A106" s="21" t="s">
        <v>21</v>
      </c>
      <c r="B106" s="22" t="s">
        <v>22</v>
      </c>
      <c r="C106" s="22" t="s">
        <v>23</v>
      </c>
      <c r="D106" s="23" t="s">
        <v>25</v>
      </c>
      <c r="E106" s="41"/>
      <c r="F106" s="186"/>
      <c r="G106" s="187"/>
      <c r="H106" s="188"/>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78" t="s">
        <v>63</v>
      </c>
      <c r="B122" s="179"/>
      <c r="C122" s="179"/>
      <c r="D122" s="96">
        <f>SUM(Fence_14[Amount])</f>
        <v>0</v>
      </c>
      <c r="E122" s="34"/>
      <c r="F122" s="173" t="s">
        <v>33</v>
      </c>
      <c r="G122" s="174"/>
      <c r="H122" s="174"/>
    </row>
    <row r="123" spans="1:8" x14ac:dyDescent="0.3">
      <c r="F123" s="173"/>
      <c r="G123" s="174"/>
      <c r="H123" s="174"/>
    </row>
    <row r="124" spans="1:8" ht="17.399999999999999" x14ac:dyDescent="0.3">
      <c r="A124" s="191" t="s">
        <v>26</v>
      </c>
      <c r="B124" s="192"/>
      <c r="C124" s="192"/>
      <c r="D124" s="193"/>
      <c r="E124" s="17"/>
      <c r="F124" s="183" t="s">
        <v>11</v>
      </c>
      <c r="G124" s="184"/>
      <c r="H124" s="185"/>
    </row>
    <row r="125" spans="1:8" x14ac:dyDescent="0.3">
      <c r="A125" s="21" t="s">
        <v>21</v>
      </c>
      <c r="B125" s="22" t="s">
        <v>22</v>
      </c>
      <c r="C125" s="22" t="s">
        <v>23</v>
      </c>
      <c r="D125" s="23" t="s">
        <v>25</v>
      </c>
      <c r="E125" s="41"/>
      <c r="F125" s="186"/>
      <c r="G125" s="187"/>
      <c r="H125" s="188"/>
    </row>
    <row r="126" spans="1:8" x14ac:dyDescent="0.3">
      <c r="A126" s="100"/>
      <c r="B126" s="101"/>
      <c r="C126" s="101"/>
      <c r="D126" s="153">
        <v>21210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78" t="s">
        <v>27</v>
      </c>
      <c r="B141" s="179"/>
      <c r="C141" s="179"/>
      <c r="D141" s="96">
        <f>SUM(Demolition_14[Amount])</f>
        <v>21210</v>
      </c>
      <c r="E141" s="34"/>
      <c r="F141" s="173" t="s">
        <v>33</v>
      </c>
      <c r="G141" s="174"/>
      <c r="H141" s="174"/>
    </row>
    <row r="142" spans="1:8" x14ac:dyDescent="0.3">
      <c r="A142" s="38"/>
      <c r="B142" s="38"/>
      <c r="C142" s="38"/>
      <c r="D142" s="39"/>
      <c r="E142" s="40"/>
      <c r="F142" s="173"/>
      <c r="G142" s="174"/>
      <c r="H142" s="174"/>
    </row>
    <row r="143" spans="1:8" ht="17.399999999999999" x14ac:dyDescent="0.3">
      <c r="A143" s="191" t="s">
        <v>64</v>
      </c>
      <c r="B143" s="192"/>
      <c r="C143" s="192"/>
      <c r="D143" s="193"/>
      <c r="E143" s="17"/>
      <c r="F143" s="183" t="s">
        <v>44</v>
      </c>
      <c r="G143" s="184"/>
      <c r="H143" s="185"/>
    </row>
    <row r="144" spans="1:8" x14ac:dyDescent="0.3">
      <c r="A144" s="21" t="s">
        <v>21</v>
      </c>
      <c r="B144" s="22" t="s">
        <v>22</v>
      </c>
      <c r="C144" s="22" t="s">
        <v>23</v>
      </c>
      <c r="D144" s="23" t="s">
        <v>25</v>
      </c>
      <c r="E144" s="41"/>
      <c r="F144" s="186"/>
      <c r="G144" s="187"/>
      <c r="H144" s="188"/>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78" t="s">
        <v>65</v>
      </c>
      <c r="B160" s="179"/>
      <c r="C160" s="179"/>
      <c r="D160" s="96">
        <f>SUM(Rehab_14[Amount])</f>
        <v>0</v>
      </c>
      <c r="E160" s="34"/>
      <c r="F160" s="173" t="s">
        <v>33</v>
      </c>
      <c r="G160" s="174"/>
      <c r="H160" s="174"/>
    </row>
    <row r="161" spans="6:8" x14ac:dyDescent="0.3">
      <c r="F161" s="173"/>
      <c r="G161" s="174"/>
      <c r="H161" s="174"/>
    </row>
  </sheetData>
  <sheetProtection algorithmName="SHA-512" hashValue="Le4XpfZ7oLzpP/hC4fGzHJLGbmsJfeax+p1SZOP/s/FW42KOSrZcd0WCJ45RuttHSvTi91eqz143LMalWvY98w==" saltValue="fdoWxMWMtcBLmF0/gxfAOQ=="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N161"/>
  <sheetViews>
    <sheetView showGridLines="0" zoomScaleNormal="100" workbookViewId="0">
      <pane ySplit="9" topLeftCell="A124" activePane="bottomLeft" state="frozen"/>
      <selection pane="bottomLeft" activeCell="D126" sqref="D126"/>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5" t="s">
        <v>24</v>
      </c>
      <c r="B1" s="175"/>
      <c r="C1" s="175"/>
      <c r="D1" s="175"/>
      <c r="E1" s="1"/>
      <c r="F1" s="2"/>
      <c r="G1" s="2"/>
      <c r="H1" s="1"/>
    </row>
    <row r="2" spans="1:14" ht="24.9" customHeight="1" x14ac:dyDescent="0.3">
      <c r="A2" s="176" t="s">
        <v>71</v>
      </c>
      <c r="B2" s="176"/>
      <c r="C2" s="176"/>
      <c r="D2" s="176"/>
      <c r="E2" s="4"/>
      <c r="F2" s="97"/>
      <c r="G2" s="97"/>
      <c r="H2" s="5"/>
    </row>
    <row r="3" spans="1:14" ht="31.5" customHeight="1" x14ac:dyDescent="0.3">
      <c r="A3" s="176"/>
      <c r="B3" s="176"/>
      <c r="C3" s="176"/>
      <c r="D3" s="176"/>
      <c r="E3" s="4"/>
      <c r="F3" s="97"/>
      <c r="G3" s="97"/>
      <c r="H3" s="5"/>
    </row>
    <row r="4" spans="1:14" ht="15" customHeight="1" x14ac:dyDescent="0.25">
      <c r="A4" s="75" t="s">
        <v>19</v>
      </c>
      <c r="B4" s="194" t="str">
        <f>IF('Summary Sheet'!B47="","",'Summary Sheet'!B47)</f>
        <v>134 E 118TH PL</v>
      </c>
      <c r="C4" s="194"/>
      <c r="D4" s="97"/>
      <c r="E4" s="4"/>
      <c r="F4" s="97"/>
      <c r="G4" s="97"/>
      <c r="H4" s="5"/>
    </row>
    <row r="5" spans="1:14" ht="15" customHeight="1" x14ac:dyDescent="0.25">
      <c r="A5" s="75" t="s">
        <v>20</v>
      </c>
      <c r="B5" s="195" t="str">
        <f>IF('Summary Sheet'!C47="","",'Summary Sheet'!C47)</f>
        <v/>
      </c>
      <c r="C5" s="195"/>
      <c r="D5" s="97"/>
      <c r="E5" s="4"/>
      <c r="F5" s="97"/>
      <c r="G5" s="97"/>
      <c r="H5" s="5"/>
    </row>
    <row r="6" spans="1:14" ht="15" customHeight="1" x14ac:dyDescent="0.25">
      <c r="A6" s="75" t="s">
        <v>36</v>
      </c>
      <c r="B6" s="177"/>
      <c r="C6" s="177"/>
      <c r="D6" s="6"/>
      <c r="E6" s="7"/>
    </row>
    <row r="7" spans="1:14" ht="15" customHeight="1" x14ac:dyDescent="0.25">
      <c r="A7" s="7"/>
      <c r="B7" s="196" t="s">
        <v>34</v>
      </c>
      <c r="C7" s="196"/>
      <c r="D7" s="10"/>
    </row>
    <row r="8" spans="1:14" ht="20.100000000000001" customHeight="1" x14ac:dyDescent="0.25">
      <c r="B8" s="11"/>
      <c r="C8" s="11"/>
      <c r="D8" s="12" t="s">
        <v>31</v>
      </c>
      <c r="F8" s="180" t="s">
        <v>32</v>
      </c>
      <c r="G8" s="181"/>
      <c r="H8" s="182"/>
    </row>
    <row r="9" spans="1:14" s="14" customFormat="1" ht="20.100000000000001" customHeight="1" x14ac:dyDescent="0.25">
      <c r="A9" s="197"/>
      <c r="B9" s="197"/>
      <c r="C9" s="197"/>
      <c r="D9" s="13">
        <f>SUM(D27,D46,D65,D84,D103,D122,D141,D160)</f>
        <v>16810</v>
      </c>
      <c r="F9" s="15" t="s">
        <v>28</v>
      </c>
      <c r="G9" s="15" t="s">
        <v>29</v>
      </c>
      <c r="H9" s="15" t="s">
        <v>30</v>
      </c>
      <c r="I9" s="16"/>
      <c r="J9" s="16"/>
      <c r="K9" s="16"/>
      <c r="L9" s="16"/>
      <c r="M9" s="16"/>
      <c r="N9" s="16"/>
    </row>
    <row r="10" spans="1:14" s="17" customFormat="1" ht="23.1" customHeight="1" x14ac:dyDescent="0.3">
      <c r="A10" s="198" t="s">
        <v>51</v>
      </c>
      <c r="B10" s="198"/>
      <c r="C10" s="198"/>
      <c r="D10" s="198"/>
      <c r="F10" s="183" t="s">
        <v>66</v>
      </c>
      <c r="G10" s="184"/>
      <c r="H10" s="185"/>
      <c r="I10" s="18"/>
      <c r="J10" s="18"/>
      <c r="K10" s="18"/>
      <c r="L10" s="18"/>
      <c r="M10" s="19"/>
      <c r="N10" s="20"/>
    </row>
    <row r="11" spans="1:14" s="24" customFormat="1" ht="12.75" customHeight="1" x14ac:dyDescent="0.25">
      <c r="A11" s="21" t="s">
        <v>21</v>
      </c>
      <c r="B11" s="22" t="s">
        <v>22</v>
      </c>
      <c r="C11" s="22" t="s">
        <v>23</v>
      </c>
      <c r="D11" s="23" t="s">
        <v>25</v>
      </c>
      <c r="F11" s="186"/>
      <c r="G11" s="187"/>
      <c r="H11" s="188"/>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78" t="s">
        <v>53</v>
      </c>
      <c r="B27" s="179"/>
      <c r="C27" s="179"/>
      <c r="D27" s="96">
        <f>SUM(Grass_15[Amount])</f>
        <v>0</v>
      </c>
      <c r="F27" s="173" t="s">
        <v>33</v>
      </c>
      <c r="G27" s="174"/>
      <c r="H27" s="174"/>
      <c r="I27" s="35"/>
      <c r="J27" s="35"/>
      <c r="K27" s="35"/>
      <c r="L27" s="35"/>
      <c r="M27" s="36"/>
      <c r="N27" s="37"/>
    </row>
    <row r="28" spans="1:14" s="40" customFormat="1" ht="11.1" customHeight="1" x14ac:dyDescent="0.3">
      <c r="A28" s="38"/>
      <c r="B28" s="38"/>
      <c r="C28" s="38"/>
      <c r="D28" s="39"/>
      <c r="F28" s="173"/>
      <c r="G28" s="174"/>
      <c r="H28" s="174"/>
      <c r="I28" s="35"/>
      <c r="J28" s="35"/>
      <c r="K28" s="35"/>
      <c r="L28" s="35"/>
      <c r="M28" s="36"/>
      <c r="N28" s="37"/>
    </row>
    <row r="29" spans="1:14" s="17" customFormat="1" ht="23.1" customHeight="1" x14ac:dyDescent="0.3">
      <c r="A29" s="191" t="s">
        <v>67</v>
      </c>
      <c r="B29" s="192"/>
      <c r="C29" s="192"/>
      <c r="D29" s="193"/>
      <c r="F29" s="183" t="s">
        <v>52</v>
      </c>
      <c r="G29" s="184"/>
      <c r="H29" s="185"/>
      <c r="I29" s="18"/>
      <c r="J29" s="18"/>
      <c r="K29" s="18"/>
      <c r="L29" s="18"/>
      <c r="M29" s="19"/>
      <c r="N29" s="20"/>
    </row>
    <row r="30" spans="1:14" s="41" customFormat="1" ht="12.75" customHeight="1" x14ac:dyDescent="0.25">
      <c r="A30" s="21" t="s">
        <v>21</v>
      </c>
      <c r="B30" s="22" t="s">
        <v>22</v>
      </c>
      <c r="C30" s="22" t="s">
        <v>23</v>
      </c>
      <c r="D30" s="23" t="s">
        <v>25</v>
      </c>
      <c r="F30" s="186"/>
      <c r="G30" s="187"/>
      <c r="H30" s="188"/>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98"/>
      <c r="J44" s="29"/>
      <c r="K44" s="29"/>
      <c r="L44" s="98"/>
      <c r="M44" s="30"/>
      <c r="N44" s="16"/>
    </row>
    <row r="45" spans="1:14" x14ac:dyDescent="0.3">
      <c r="A45" s="106"/>
      <c r="B45" s="107"/>
      <c r="C45" s="107"/>
      <c r="D45" s="114"/>
      <c r="F45" s="103"/>
      <c r="G45" s="104"/>
      <c r="H45" s="109"/>
      <c r="I45" s="98"/>
      <c r="J45" s="29"/>
      <c r="K45" s="29"/>
      <c r="L45" s="98"/>
      <c r="M45" s="30"/>
      <c r="N45" s="16"/>
    </row>
    <row r="46" spans="1:14" s="34" customFormat="1" x14ac:dyDescent="0.3">
      <c r="A46" s="178" t="s">
        <v>54</v>
      </c>
      <c r="B46" s="179"/>
      <c r="C46" s="179"/>
      <c r="D46" s="96">
        <f>SUM(Tree_15[Amount])</f>
        <v>0</v>
      </c>
      <c r="F46" s="173" t="s">
        <v>33</v>
      </c>
      <c r="G46" s="174"/>
      <c r="H46" s="174"/>
      <c r="I46" s="43"/>
      <c r="J46" s="43"/>
      <c r="K46" s="43"/>
      <c r="L46" s="43"/>
      <c r="M46" s="36"/>
      <c r="N46" s="37"/>
    </row>
    <row r="47" spans="1:14" s="40" customFormat="1" ht="11.1" customHeight="1" x14ac:dyDescent="0.3">
      <c r="A47" s="38"/>
      <c r="B47" s="38"/>
      <c r="C47" s="38"/>
      <c r="D47" s="39"/>
      <c r="F47" s="173"/>
      <c r="G47" s="174"/>
      <c r="H47" s="174"/>
      <c r="I47" s="43"/>
      <c r="J47" s="43"/>
      <c r="K47" s="43"/>
      <c r="L47" s="43"/>
      <c r="M47" s="36"/>
      <c r="N47" s="37"/>
    </row>
    <row r="48" spans="1:14" s="17" customFormat="1" ht="23.1" customHeight="1" x14ac:dyDescent="0.3">
      <c r="A48" s="191" t="s">
        <v>68</v>
      </c>
      <c r="B48" s="192"/>
      <c r="C48" s="192"/>
      <c r="D48" s="193"/>
      <c r="F48" s="183" t="s">
        <v>55</v>
      </c>
      <c r="G48" s="184"/>
      <c r="H48" s="185"/>
      <c r="I48" s="44"/>
      <c r="J48" s="44"/>
      <c r="K48" s="44"/>
      <c r="L48" s="44"/>
      <c r="M48" s="19"/>
      <c r="N48" s="20"/>
    </row>
    <row r="49" spans="1:14" s="41" customFormat="1" ht="12.75" customHeight="1" x14ac:dyDescent="0.25">
      <c r="A49" s="21" t="s">
        <v>21</v>
      </c>
      <c r="B49" s="22" t="s">
        <v>22</v>
      </c>
      <c r="C49" s="22" t="s">
        <v>23</v>
      </c>
      <c r="D49" s="23" t="s">
        <v>25</v>
      </c>
      <c r="F49" s="186"/>
      <c r="G49" s="187"/>
      <c r="H49" s="188"/>
      <c r="I49" s="98"/>
      <c r="J49" s="98"/>
      <c r="K49" s="98"/>
      <c r="L49" s="98"/>
      <c r="M49" s="30"/>
      <c r="N49" s="42"/>
    </row>
    <row r="50" spans="1:14" x14ac:dyDescent="0.3">
      <c r="A50" s="100"/>
      <c r="B50" s="101"/>
      <c r="C50" s="101"/>
      <c r="D50" s="112"/>
      <c r="F50" s="103"/>
      <c r="G50" s="104"/>
      <c r="H50" s="109"/>
      <c r="I50" s="98"/>
      <c r="J50" s="98"/>
      <c r="K50" s="98"/>
      <c r="L50" s="98"/>
      <c r="M50" s="30"/>
      <c r="N50" s="16"/>
    </row>
    <row r="51" spans="1:14" x14ac:dyDescent="0.3">
      <c r="A51" s="106"/>
      <c r="B51" s="107"/>
      <c r="C51" s="107"/>
      <c r="D51" s="113"/>
      <c r="F51" s="103"/>
      <c r="G51" s="104"/>
      <c r="H51" s="109"/>
      <c r="I51" s="98"/>
      <c r="J51" s="98"/>
      <c r="K51" s="98"/>
      <c r="L51" s="98"/>
      <c r="M51" s="30"/>
      <c r="N51" s="16"/>
    </row>
    <row r="52" spans="1:14" x14ac:dyDescent="0.3">
      <c r="A52" s="106"/>
      <c r="B52" s="107"/>
      <c r="C52" s="107"/>
      <c r="D52" s="114"/>
      <c r="F52" s="103"/>
      <c r="H52" s="109"/>
      <c r="I52" s="98"/>
      <c r="J52" s="98"/>
      <c r="K52" s="98"/>
      <c r="L52" s="98"/>
      <c r="M52" s="30"/>
      <c r="N52" s="16"/>
    </row>
    <row r="53" spans="1:14" x14ac:dyDescent="0.3">
      <c r="A53" s="106"/>
      <c r="B53" s="107"/>
      <c r="C53" s="107"/>
      <c r="D53" s="113"/>
      <c r="F53" s="103"/>
      <c r="G53" s="104"/>
      <c r="H53" s="109"/>
      <c r="I53" s="98"/>
      <c r="J53" s="98"/>
      <c r="K53" s="98"/>
      <c r="L53" s="98"/>
      <c r="M53" s="30"/>
      <c r="N53" s="16"/>
    </row>
    <row r="54" spans="1:14" x14ac:dyDescent="0.3">
      <c r="A54" s="106"/>
      <c r="B54" s="107"/>
      <c r="C54" s="107"/>
      <c r="D54" s="114"/>
      <c r="F54" s="103"/>
      <c r="G54" s="104"/>
      <c r="H54" s="109"/>
      <c r="I54" s="98"/>
      <c r="J54" s="98"/>
      <c r="K54" s="98"/>
      <c r="L54" s="98"/>
      <c r="M54" s="30"/>
      <c r="N54" s="16"/>
    </row>
    <row r="55" spans="1:14" x14ac:dyDescent="0.3">
      <c r="A55" s="106"/>
      <c r="B55" s="107"/>
      <c r="C55" s="107"/>
      <c r="D55" s="113"/>
      <c r="F55" s="103"/>
      <c r="G55" s="104"/>
      <c r="H55" s="109"/>
      <c r="I55" s="98"/>
      <c r="J55" s="98"/>
      <c r="K55" s="98"/>
      <c r="L55" s="98"/>
      <c r="M55" s="30"/>
      <c r="N55" s="16"/>
    </row>
    <row r="56" spans="1:14" x14ac:dyDescent="0.3">
      <c r="A56" s="106"/>
      <c r="B56" s="107"/>
      <c r="C56" s="107"/>
      <c r="D56" s="114"/>
      <c r="F56" s="103"/>
      <c r="G56" s="104"/>
      <c r="H56" s="109"/>
      <c r="I56" s="98"/>
      <c r="J56" s="98"/>
      <c r="K56" s="98"/>
      <c r="L56" s="98"/>
      <c r="M56" s="30"/>
      <c r="N56" s="16"/>
    </row>
    <row r="57" spans="1:14" x14ac:dyDescent="0.3">
      <c r="A57" s="106"/>
      <c r="B57" s="107"/>
      <c r="C57" s="107"/>
      <c r="D57" s="113"/>
      <c r="F57" s="103"/>
      <c r="G57" s="104"/>
      <c r="H57" s="109"/>
      <c r="I57" s="98"/>
      <c r="J57" s="98"/>
      <c r="K57" s="98"/>
      <c r="L57" s="98"/>
      <c r="M57" s="30"/>
      <c r="N57" s="16"/>
    </row>
    <row r="58" spans="1:14" x14ac:dyDescent="0.3">
      <c r="A58" s="106"/>
      <c r="B58" s="107"/>
      <c r="C58" s="107"/>
      <c r="D58" s="114"/>
      <c r="F58" s="103"/>
      <c r="G58" s="104"/>
      <c r="H58" s="109"/>
      <c r="I58" s="98"/>
      <c r="J58" s="98"/>
      <c r="K58" s="98"/>
      <c r="L58" s="98"/>
      <c r="M58" s="30"/>
      <c r="N58" s="16"/>
    </row>
    <row r="59" spans="1:14" x14ac:dyDescent="0.3">
      <c r="A59" s="106"/>
      <c r="B59" s="107"/>
      <c r="C59" s="107"/>
      <c r="D59" s="113"/>
      <c r="F59" s="103"/>
      <c r="G59" s="104"/>
      <c r="H59" s="109"/>
      <c r="I59" s="98"/>
      <c r="J59" s="190"/>
      <c r="K59" s="190"/>
      <c r="L59" s="98"/>
      <c r="M59" s="30"/>
      <c r="N59" s="16"/>
    </row>
    <row r="60" spans="1:14" x14ac:dyDescent="0.3">
      <c r="A60" s="106"/>
      <c r="B60" s="107"/>
      <c r="C60" s="107"/>
      <c r="D60" s="114"/>
      <c r="F60" s="103"/>
      <c r="G60" s="104"/>
      <c r="H60" s="109"/>
      <c r="I60" s="189"/>
      <c r="J60" s="189"/>
      <c r="K60" s="189"/>
      <c r="L60" s="189"/>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78" t="s">
        <v>56</v>
      </c>
      <c r="B65" s="179"/>
      <c r="C65" s="179"/>
      <c r="D65" s="96">
        <f>SUM(Pest_15[Amount])</f>
        <v>0</v>
      </c>
      <c r="F65" s="173" t="s">
        <v>33</v>
      </c>
      <c r="G65" s="174"/>
      <c r="H65" s="174"/>
    </row>
    <row r="66" spans="1:8" x14ac:dyDescent="0.3">
      <c r="F66" s="173"/>
      <c r="G66" s="174"/>
      <c r="H66" s="174"/>
    </row>
    <row r="67" spans="1:8" ht="17.399999999999999" x14ac:dyDescent="0.3">
      <c r="A67" s="198" t="s">
        <v>69</v>
      </c>
      <c r="B67" s="198"/>
      <c r="C67" s="198"/>
      <c r="D67" s="198"/>
      <c r="E67" s="17"/>
      <c r="F67" s="183" t="s">
        <v>57</v>
      </c>
      <c r="G67" s="184"/>
      <c r="H67" s="185"/>
    </row>
    <row r="68" spans="1:8" x14ac:dyDescent="0.3">
      <c r="A68" s="21" t="s">
        <v>21</v>
      </c>
      <c r="B68" s="22" t="s">
        <v>22</v>
      </c>
      <c r="C68" s="22" t="s">
        <v>23</v>
      </c>
      <c r="D68" s="23" t="s">
        <v>25</v>
      </c>
      <c r="E68" s="24"/>
      <c r="F68" s="186"/>
      <c r="G68" s="187"/>
      <c r="H68" s="188"/>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78" t="s">
        <v>58</v>
      </c>
      <c r="B84" s="179"/>
      <c r="C84" s="179"/>
      <c r="D84" s="96">
        <f>SUM(Garbage_15[Amount])</f>
        <v>0</v>
      </c>
      <c r="E84" s="34"/>
      <c r="F84" s="173" t="s">
        <v>33</v>
      </c>
      <c r="G84" s="174"/>
      <c r="H84" s="174"/>
    </row>
    <row r="85" spans="1:8" x14ac:dyDescent="0.3">
      <c r="A85" s="38"/>
      <c r="B85" s="38"/>
      <c r="C85" s="38"/>
      <c r="D85" s="39"/>
      <c r="E85" s="40"/>
      <c r="F85" s="173"/>
      <c r="G85" s="174"/>
      <c r="H85" s="174"/>
    </row>
    <row r="86" spans="1:8" ht="17.399999999999999" x14ac:dyDescent="0.3">
      <c r="A86" s="191" t="s">
        <v>59</v>
      </c>
      <c r="B86" s="192"/>
      <c r="C86" s="192"/>
      <c r="D86" s="193"/>
      <c r="E86" s="17"/>
      <c r="F86" s="183" t="s">
        <v>60</v>
      </c>
      <c r="G86" s="184"/>
      <c r="H86" s="185"/>
    </row>
    <row r="87" spans="1:8" x14ac:dyDescent="0.3">
      <c r="A87" s="21" t="s">
        <v>21</v>
      </c>
      <c r="B87" s="22" t="s">
        <v>22</v>
      </c>
      <c r="C87" s="22" t="s">
        <v>23</v>
      </c>
      <c r="D87" s="23" t="s">
        <v>25</v>
      </c>
      <c r="E87" s="41"/>
      <c r="F87" s="186"/>
      <c r="G87" s="187"/>
      <c r="H87" s="188"/>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78" t="s">
        <v>61</v>
      </c>
      <c r="B103" s="179"/>
      <c r="C103" s="179"/>
      <c r="D103" s="96">
        <f>SUM(Boarding_15[Amount])</f>
        <v>0</v>
      </c>
      <c r="E103" s="34"/>
      <c r="F103" s="173" t="s">
        <v>33</v>
      </c>
      <c r="G103" s="174"/>
      <c r="H103" s="174"/>
    </row>
    <row r="104" spans="1:8" x14ac:dyDescent="0.3">
      <c r="A104" s="38"/>
      <c r="B104" s="38"/>
      <c r="C104" s="38"/>
      <c r="D104" s="39"/>
      <c r="E104" s="40"/>
      <c r="F104" s="173"/>
      <c r="G104" s="174"/>
      <c r="H104" s="174"/>
    </row>
    <row r="105" spans="1:8" ht="17.399999999999999" x14ac:dyDescent="0.3">
      <c r="A105" s="191" t="s">
        <v>70</v>
      </c>
      <c r="B105" s="192"/>
      <c r="C105" s="192"/>
      <c r="D105" s="193"/>
      <c r="E105" s="17"/>
      <c r="F105" s="183" t="s">
        <v>62</v>
      </c>
      <c r="G105" s="184"/>
      <c r="H105" s="185"/>
    </row>
    <row r="106" spans="1:8" x14ac:dyDescent="0.3">
      <c r="A106" s="21" t="s">
        <v>21</v>
      </c>
      <c r="B106" s="22" t="s">
        <v>22</v>
      </c>
      <c r="C106" s="22" t="s">
        <v>23</v>
      </c>
      <c r="D106" s="23" t="s">
        <v>25</v>
      </c>
      <c r="E106" s="41"/>
      <c r="F106" s="186"/>
      <c r="G106" s="187"/>
      <c r="H106" s="188"/>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78" t="s">
        <v>63</v>
      </c>
      <c r="B122" s="179"/>
      <c r="C122" s="179"/>
      <c r="D122" s="96">
        <f>SUM(Fence_15[Amount])</f>
        <v>0</v>
      </c>
      <c r="E122" s="34"/>
      <c r="F122" s="173" t="s">
        <v>33</v>
      </c>
      <c r="G122" s="174"/>
      <c r="H122" s="174"/>
    </row>
    <row r="123" spans="1:8" x14ac:dyDescent="0.3">
      <c r="F123" s="173"/>
      <c r="G123" s="174"/>
      <c r="H123" s="174"/>
    </row>
    <row r="124" spans="1:8" ht="17.399999999999999" x14ac:dyDescent="0.3">
      <c r="A124" s="191" t="s">
        <v>26</v>
      </c>
      <c r="B124" s="192"/>
      <c r="C124" s="192"/>
      <c r="D124" s="193"/>
      <c r="E124" s="17"/>
      <c r="F124" s="183" t="s">
        <v>11</v>
      </c>
      <c r="G124" s="184"/>
      <c r="H124" s="185"/>
    </row>
    <row r="125" spans="1:8" x14ac:dyDescent="0.3">
      <c r="A125" s="21" t="s">
        <v>21</v>
      </c>
      <c r="B125" s="22" t="s">
        <v>22</v>
      </c>
      <c r="C125" s="22" t="s">
        <v>23</v>
      </c>
      <c r="D125" s="23" t="s">
        <v>25</v>
      </c>
      <c r="E125" s="41"/>
      <c r="F125" s="186"/>
      <c r="G125" s="187"/>
      <c r="H125" s="188"/>
    </row>
    <row r="126" spans="1:8" x14ac:dyDescent="0.3">
      <c r="A126" s="100"/>
      <c r="B126" s="101"/>
      <c r="C126" s="101"/>
      <c r="D126" s="154">
        <v>16810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78" t="s">
        <v>27</v>
      </c>
      <c r="B141" s="179"/>
      <c r="C141" s="179"/>
      <c r="D141" s="96">
        <f>SUM(Demolition_15[Amount])</f>
        <v>16810</v>
      </c>
      <c r="E141" s="34"/>
      <c r="F141" s="173" t="s">
        <v>33</v>
      </c>
      <c r="G141" s="174"/>
      <c r="H141" s="174"/>
    </row>
    <row r="142" spans="1:8" x14ac:dyDescent="0.3">
      <c r="A142" s="38"/>
      <c r="B142" s="38"/>
      <c r="C142" s="38"/>
      <c r="D142" s="39"/>
      <c r="E142" s="40"/>
      <c r="F142" s="173"/>
      <c r="G142" s="174"/>
      <c r="H142" s="174"/>
    </row>
    <row r="143" spans="1:8" ht="17.399999999999999" x14ac:dyDescent="0.3">
      <c r="A143" s="191" t="s">
        <v>64</v>
      </c>
      <c r="B143" s="192"/>
      <c r="C143" s="192"/>
      <c r="D143" s="193"/>
      <c r="E143" s="17"/>
      <c r="F143" s="183" t="s">
        <v>44</v>
      </c>
      <c r="G143" s="184"/>
      <c r="H143" s="185"/>
    </row>
    <row r="144" spans="1:8" x14ac:dyDescent="0.3">
      <c r="A144" s="21" t="s">
        <v>21</v>
      </c>
      <c r="B144" s="22" t="s">
        <v>22</v>
      </c>
      <c r="C144" s="22" t="s">
        <v>23</v>
      </c>
      <c r="D144" s="23" t="s">
        <v>25</v>
      </c>
      <c r="E144" s="41"/>
      <c r="F144" s="186"/>
      <c r="G144" s="187"/>
      <c r="H144" s="188"/>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78" t="s">
        <v>65</v>
      </c>
      <c r="B160" s="179"/>
      <c r="C160" s="179"/>
      <c r="D160" s="96">
        <f>SUM(Rehab_15[Amount])</f>
        <v>0</v>
      </c>
      <c r="E160" s="34"/>
      <c r="F160" s="173" t="s">
        <v>33</v>
      </c>
      <c r="G160" s="174"/>
      <c r="H160" s="174"/>
    </row>
    <row r="161" spans="6:8" x14ac:dyDescent="0.3">
      <c r="F161" s="173"/>
      <c r="G161" s="174"/>
      <c r="H161" s="174"/>
    </row>
  </sheetData>
  <sheetProtection algorithmName="SHA-512" hashValue="CfEfLM8G+99Lpidgjojr7IosKdM7ScdDUWwPbcdBArXdNzMkwo8J7Jemym+WXg6qDXpyM/GZMo24GpdwfOs6dw==" saltValue="A8wgx/SlcJHlydGZ0Oqi0w=="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N161"/>
  <sheetViews>
    <sheetView showGridLines="0" zoomScaleNormal="100" workbookViewId="0">
      <pane ySplit="9" topLeftCell="A118" activePane="bottomLeft" state="frozen"/>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5" t="s">
        <v>24</v>
      </c>
      <c r="B1" s="175"/>
      <c r="C1" s="175"/>
      <c r="D1" s="175"/>
      <c r="E1" s="1"/>
      <c r="F1" s="2"/>
      <c r="G1" s="2"/>
      <c r="H1" s="1"/>
    </row>
    <row r="2" spans="1:14" ht="24.9" customHeight="1" x14ac:dyDescent="0.3">
      <c r="A2" s="176" t="s">
        <v>71</v>
      </c>
      <c r="B2" s="176"/>
      <c r="C2" s="176"/>
      <c r="D2" s="176"/>
      <c r="E2" s="4"/>
      <c r="F2" s="97"/>
      <c r="G2" s="97"/>
      <c r="H2" s="5"/>
    </row>
    <row r="3" spans="1:14" ht="31.5" customHeight="1" x14ac:dyDescent="0.3">
      <c r="A3" s="176"/>
      <c r="B3" s="176"/>
      <c r="C3" s="176"/>
      <c r="D3" s="176"/>
      <c r="E3" s="4"/>
      <c r="F3" s="97"/>
      <c r="G3" s="97"/>
      <c r="H3" s="5"/>
    </row>
    <row r="4" spans="1:14" ht="15" customHeight="1" x14ac:dyDescent="0.25">
      <c r="A4" s="75" t="s">
        <v>19</v>
      </c>
      <c r="B4" s="194" t="str">
        <f>IF('Summary Sheet'!B48="","",'Summary Sheet'!B48)</f>
        <v>135 E 103RD PL</v>
      </c>
      <c r="C4" s="194"/>
      <c r="D4" s="97"/>
      <c r="E4" s="4"/>
      <c r="F4" s="97"/>
      <c r="G4" s="97"/>
      <c r="H4" s="5"/>
    </row>
    <row r="5" spans="1:14" ht="15" customHeight="1" x14ac:dyDescent="0.25">
      <c r="A5" s="75" t="s">
        <v>20</v>
      </c>
      <c r="B5" s="195" t="str">
        <f>IF('Summary Sheet'!C48="","",'Summary Sheet'!C48)</f>
        <v/>
      </c>
      <c r="C5" s="195"/>
      <c r="D5" s="97"/>
      <c r="E5" s="4"/>
      <c r="F5" s="97"/>
      <c r="G5" s="97"/>
      <c r="H5" s="5"/>
    </row>
    <row r="6" spans="1:14" ht="15" customHeight="1" x14ac:dyDescent="0.25">
      <c r="A6" s="75" t="s">
        <v>36</v>
      </c>
      <c r="B6" s="177"/>
      <c r="C6" s="177"/>
      <c r="D6" s="6"/>
      <c r="E6" s="7"/>
    </row>
    <row r="7" spans="1:14" ht="15" customHeight="1" x14ac:dyDescent="0.25">
      <c r="A7" s="7"/>
      <c r="B7" s="196" t="s">
        <v>34</v>
      </c>
      <c r="C7" s="196"/>
      <c r="D7" s="10"/>
    </row>
    <row r="8" spans="1:14" ht="20.100000000000001" customHeight="1" x14ac:dyDescent="0.25">
      <c r="B8" s="11"/>
      <c r="C8" s="11"/>
      <c r="D8" s="12" t="s">
        <v>31</v>
      </c>
      <c r="F8" s="180" t="s">
        <v>32</v>
      </c>
      <c r="G8" s="181"/>
      <c r="H8" s="182"/>
    </row>
    <row r="9" spans="1:14" s="14" customFormat="1" ht="20.100000000000001" customHeight="1" x14ac:dyDescent="0.25">
      <c r="A9" s="197"/>
      <c r="B9" s="197"/>
      <c r="C9" s="197"/>
      <c r="D9" s="13">
        <f>SUM(D27,D46,D65,D84,D103,D122,D141,D160)</f>
        <v>17310</v>
      </c>
      <c r="F9" s="15" t="s">
        <v>28</v>
      </c>
      <c r="G9" s="15" t="s">
        <v>29</v>
      </c>
      <c r="H9" s="15" t="s">
        <v>30</v>
      </c>
      <c r="I9" s="16"/>
      <c r="J9" s="16"/>
      <c r="K9" s="16"/>
      <c r="L9" s="16"/>
      <c r="M9" s="16"/>
      <c r="N9" s="16"/>
    </row>
    <row r="10" spans="1:14" s="17" customFormat="1" ht="23.1" customHeight="1" x14ac:dyDescent="0.3">
      <c r="A10" s="198" t="s">
        <v>51</v>
      </c>
      <c r="B10" s="198"/>
      <c r="C10" s="198"/>
      <c r="D10" s="198"/>
      <c r="F10" s="183" t="s">
        <v>66</v>
      </c>
      <c r="G10" s="184"/>
      <c r="H10" s="185"/>
      <c r="I10" s="18"/>
      <c r="J10" s="18"/>
      <c r="K10" s="18"/>
      <c r="L10" s="18"/>
      <c r="M10" s="19"/>
      <c r="N10" s="20"/>
    </row>
    <row r="11" spans="1:14" s="24" customFormat="1" ht="12.75" customHeight="1" x14ac:dyDescent="0.25">
      <c r="A11" s="21" t="s">
        <v>21</v>
      </c>
      <c r="B11" s="22" t="s">
        <v>22</v>
      </c>
      <c r="C11" s="22" t="s">
        <v>23</v>
      </c>
      <c r="D11" s="23" t="s">
        <v>25</v>
      </c>
      <c r="F11" s="186"/>
      <c r="G11" s="187"/>
      <c r="H11" s="188"/>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78" t="s">
        <v>53</v>
      </c>
      <c r="B27" s="179"/>
      <c r="C27" s="179"/>
      <c r="D27" s="96">
        <f>SUM(Grass_16[Amount])</f>
        <v>0</v>
      </c>
      <c r="F27" s="173" t="s">
        <v>33</v>
      </c>
      <c r="G27" s="174"/>
      <c r="H27" s="174"/>
      <c r="I27" s="35"/>
      <c r="J27" s="35"/>
      <c r="K27" s="35"/>
      <c r="L27" s="35"/>
      <c r="M27" s="36"/>
      <c r="N27" s="37"/>
    </row>
    <row r="28" spans="1:14" s="40" customFormat="1" ht="11.1" customHeight="1" x14ac:dyDescent="0.3">
      <c r="A28" s="38"/>
      <c r="B28" s="38"/>
      <c r="C28" s="38"/>
      <c r="D28" s="39"/>
      <c r="F28" s="173"/>
      <c r="G28" s="174"/>
      <c r="H28" s="174"/>
      <c r="I28" s="35"/>
      <c r="J28" s="35"/>
      <c r="K28" s="35"/>
      <c r="L28" s="35"/>
      <c r="M28" s="36"/>
      <c r="N28" s="37"/>
    </row>
    <row r="29" spans="1:14" s="17" customFormat="1" ht="23.1" customHeight="1" x14ac:dyDescent="0.3">
      <c r="A29" s="191" t="s">
        <v>67</v>
      </c>
      <c r="B29" s="192"/>
      <c r="C29" s="192"/>
      <c r="D29" s="193"/>
      <c r="F29" s="183" t="s">
        <v>52</v>
      </c>
      <c r="G29" s="184"/>
      <c r="H29" s="185"/>
      <c r="I29" s="18"/>
      <c r="J29" s="18"/>
      <c r="K29" s="18"/>
      <c r="L29" s="18"/>
      <c r="M29" s="19"/>
      <c r="N29" s="20"/>
    </row>
    <row r="30" spans="1:14" s="41" customFormat="1" ht="12.75" customHeight="1" x14ac:dyDescent="0.25">
      <c r="A30" s="21" t="s">
        <v>21</v>
      </c>
      <c r="B30" s="22" t="s">
        <v>22</v>
      </c>
      <c r="C30" s="22" t="s">
        <v>23</v>
      </c>
      <c r="D30" s="23" t="s">
        <v>25</v>
      </c>
      <c r="F30" s="186"/>
      <c r="G30" s="187"/>
      <c r="H30" s="188"/>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98"/>
      <c r="J44" s="29"/>
      <c r="K44" s="29"/>
      <c r="L44" s="98"/>
      <c r="M44" s="30"/>
      <c r="N44" s="16"/>
    </row>
    <row r="45" spans="1:14" x14ac:dyDescent="0.3">
      <c r="A45" s="106"/>
      <c r="B45" s="107"/>
      <c r="C45" s="107"/>
      <c r="D45" s="114"/>
      <c r="F45" s="103"/>
      <c r="G45" s="104"/>
      <c r="H45" s="109"/>
      <c r="I45" s="98"/>
      <c r="J45" s="29"/>
      <c r="K45" s="29"/>
      <c r="L45" s="98"/>
      <c r="M45" s="30"/>
      <c r="N45" s="16"/>
    </row>
    <row r="46" spans="1:14" s="34" customFormat="1" x14ac:dyDescent="0.3">
      <c r="A46" s="178" t="s">
        <v>54</v>
      </c>
      <c r="B46" s="179"/>
      <c r="C46" s="179"/>
      <c r="D46" s="96">
        <f>SUM(Tree_16[Amount])</f>
        <v>0</v>
      </c>
      <c r="F46" s="173" t="s">
        <v>33</v>
      </c>
      <c r="G46" s="174"/>
      <c r="H46" s="174"/>
      <c r="I46" s="43"/>
      <c r="J46" s="43"/>
      <c r="K46" s="43"/>
      <c r="L46" s="43"/>
      <c r="M46" s="36"/>
      <c r="N46" s="37"/>
    </row>
    <row r="47" spans="1:14" s="40" customFormat="1" ht="11.1" customHeight="1" x14ac:dyDescent="0.3">
      <c r="A47" s="38"/>
      <c r="B47" s="38"/>
      <c r="C47" s="38"/>
      <c r="D47" s="39"/>
      <c r="F47" s="173"/>
      <c r="G47" s="174"/>
      <c r="H47" s="174"/>
      <c r="I47" s="43"/>
      <c r="J47" s="43"/>
      <c r="K47" s="43"/>
      <c r="L47" s="43"/>
      <c r="M47" s="36"/>
      <c r="N47" s="37"/>
    </row>
    <row r="48" spans="1:14" s="17" customFormat="1" ht="23.1" customHeight="1" x14ac:dyDescent="0.3">
      <c r="A48" s="191" t="s">
        <v>68</v>
      </c>
      <c r="B48" s="192"/>
      <c r="C48" s="192"/>
      <c r="D48" s="193"/>
      <c r="F48" s="183" t="s">
        <v>55</v>
      </c>
      <c r="G48" s="184"/>
      <c r="H48" s="185"/>
      <c r="I48" s="44"/>
      <c r="J48" s="44"/>
      <c r="K48" s="44"/>
      <c r="L48" s="44"/>
      <c r="M48" s="19"/>
      <c r="N48" s="20"/>
    </row>
    <row r="49" spans="1:14" s="41" customFormat="1" ht="12.75" customHeight="1" x14ac:dyDescent="0.25">
      <c r="A49" s="21" t="s">
        <v>21</v>
      </c>
      <c r="B49" s="22" t="s">
        <v>22</v>
      </c>
      <c r="C49" s="22" t="s">
        <v>23</v>
      </c>
      <c r="D49" s="23" t="s">
        <v>25</v>
      </c>
      <c r="F49" s="186"/>
      <c r="G49" s="187"/>
      <c r="H49" s="188"/>
      <c r="I49" s="98"/>
      <c r="J49" s="98"/>
      <c r="K49" s="98"/>
      <c r="L49" s="98"/>
      <c r="M49" s="30"/>
      <c r="N49" s="42"/>
    </row>
    <row r="50" spans="1:14" x14ac:dyDescent="0.3">
      <c r="A50" s="100"/>
      <c r="B50" s="101"/>
      <c r="C50" s="101"/>
      <c r="D50" s="112"/>
      <c r="F50" s="103"/>
      <c r="G50" s="104"/>
      <c r="H50" s="109"/>
      <c r="I50" s="98"/>
      <c r="J50" s="98"/>
      <c r="K50" s="98"/>
      <c r="L50" s="98"/>
      <c r="M50" s="30"/>
      <c r="N50" s="16"/>
    </row>
    <row r="51" spans="1:14" x14ac:dyDescent="0.3">
      <c r="A51" s="106"/>
      <c r="B51" s="107"/>
      <c r="C51" s="107"/>
      <c r="D51" s="113"/>
      <c r="F51" s="103"/>
      <c r="G51" s="104"/>
      <c r="H51" s="109"/>
      <c r="I51" s="98"/>
      <c r="J51" s="98"/>
      <c r="K51" s="98"/>
      <c r="L51" s="98"/>
      <c r="M51" s="30"/>
      <c r="N51" s="16"/>
    </row>
    <row r="52" spans="1:14" x14ac:dyDescent="0.3">
      <c r="A52" s="106"/>
      <c r="B52" s="107"/>
      <c r="C52" s="107"/>
      <c r="D52" s="114"/>
      <c r="F52" s="103"/>
      <c r="H52" s="109"/>
      <c r="I52" s="98"/>
      <c r="J52" s="98"/>
      <c r="K52" s="98"/>
      <c r="L52" s="98"/>
      <c r="M52" s="30"/>
      <c r="N52" s="16"/>
    </row>
    <row r="53" spans="1:14" x14ac:dyDescent="0.3">
      <c r="A53" s="106"/>
      <c r="B53" s="107"/>
      <c r="C53" s="107"/>
      <c r="D53" s="113"/>
      <c r="F53" s="103"/>
      <c r="G53" s="104"/>
      <c r="H53" s="109"/>
      <c r="I53" s="98"/>
      <c r="J53" s="98"/>
      <c r="K53" s="98"/>
      <c r="L53" s="98"/>
      <c r="M53" s="30"/>
      <c r="N53" s="16"/>
    </row>
    <row r="54" spans="1:14" x14ac:dyDescent="0.3">
      <c r="A54" s="106"/>
      <c r="B54" s="107"/>
      <c r="C54" s="107"/>
      <c r="D54" s="114"/>
      <c r="F54" s="103"/>
      <c r="G54" s="104"/>
      <c r="H54" s="109"/>
      <c r="I54" s="98"/>
      <c r="J54" s="98"/>
      <c r="K54" s="98"/>
      <c r="L54" s="98"/>
      <c r="M54" s="30"/>
      <c r="N54" s="16"/>
    </row>
    <row r="55" spans="1:14" x14ac:dyDescent="0.3">
      <c r="A55" s="106"/>
      <c r="B55" s="107"/>
      <c r="C55" s="107"/>
      <c r="D55" s="113"/>
      <c r="F55" s="103"/>
      <c r="G55" s="104"/>
      <c r="H55" s="109"/>
      <c r="I55" s="98"/>
      <c r="J55" s="98"/>
      <c r="K55" s="98"/>
      <c r="L55" s="98"/>
      <c r="M55" s="30"/>
      <c r="N55" s="16"/>
    </row>
    <row r="56" spans="1:14" x14ac:dyDescent="0.3">
      <c r="A56" s="106"/>
      <c r="B56" s="107"/>
      <c r="C56" s="107"/>
      <c r="D56" s="114"/>
      <c r="F56" s="103"/>
      <c r="G56" s="104"/>
      <c r="H56" s="109"/>
      <c r="I56" s="98"/>
      <c r="J56" s="98"/>
      <c r="K56" s="98"/>
      <c r="L56" s="98"/>
      <c r="M56" s="30"/>
      <c r="N56" s="16"/>
    </row>
    <row r="57" spans="1:14" x14ac:dyDescent="0.3">
      <c r="A57" s="106"/>
      <c r="B57" s="107"/>
      <c r="C57" s="107"/>
      <c r="D57" s="113"/>
      <c r="F57" s="103"/>
      <c r="G57" s="104"/>
      <c r="H57" s="109"/>
      <c r="I57" s="98"/>
      <c r="J57" s="98"/>
      <c r="K57" s="98"/>
      <c r="L57" s="98"/>
      <c r="M57" s="30"/>
      <c r="N57" s="16"/>
    </row>
    <row r="58" spans="1:14" x14ac:dyDescent="0.3">
      <c r="A58" s="106"/>
      <c r="B58" s="107"/>
      <c r="C58" s="107"/>
      <c r="D58" s="114"/>
      <c r="F58" s="103"/>
      <c r="G58" s="104"/>
      <c r="H58" s="109"/>
      <c r="I58" s="98"/>
      <c r="J58" s="98"/>
      <c r="K58" s="98"/>
      <c r="L58" s="98"/>
      <c r="M58" s="30"/>
      <c r="N58" s="16"/>
    </row>
    <row r="59" spans="1:14" x14ac:dyDescent="0.3">
      <c r="A59" s="106"/>
      <c r="B59" s="107"/>
      <c r="C59" s="107"/>
      <c r="D59" s="113"/>
      <c r="F59" s="103"/>
      <c r="G59" s="104"/>
      <c r="H59" s="109"/>
      <c r="I59" s="98"/>
      <c r="J59" s="190"/>
      <c r="K59" s="190"/>
      <c r="L59" s="98"/>
      <c r="M59" s="30"/>
      <c r="N59" s="16"/>
    </row>
    <row r="60" spans="1:14" x14ac:dyDescent="0.3">
      <c r="A60" s="106"/>
      <c r="B60" s="107"/>
      <c r="C60" s="107"/>
      <c r="D60" s="114"/>
      <c r="F60" s="103"/>
      <c r="G60" s="104"/>
      <c r="H60" s="109"/>
      <c r="I60" s="189"/>
      <c r="J60" s="189"/>
      <c r="K60" s="189"/>
      <c r="L60" s="189"/>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78" t="s">
        <v>56</v>
      </c>
      <c r="B65" s="179"/>
      <c r="C65" s="179"/>
      <c r="D65" s="96">
        <f>SUM(Pest_16[Amount])</f>
        <v>0</v>
      </c>
      <c r="F65" s="173" t="s">
        <v>33</v>
      </c>
      <c r="G65" s="174"/>
      <c r="H65" s="174"/>
    </row>
    <row r="66" spans="1:8" x14ac:dyDescent="0.3">
      <c r="F66" s="173"/>
      <c r="G66" s="174"/>
      <c r="H66" s="174"/>
    </row>
    <row r="67" spans="1:8" ht="17.399999999999999" x14ac:dyDescent="0.3">
      <c r="A67" s="198" t="s">
        <v>69</v>
      </c>
      <c r="B67" s="198"/>
      <c r="C67" s="198"/>
      <c r="D67" s="198"/>
      <c r="E67" s="17"/>
      <c r="F67" s="183" t="s">
        <v>57</v>
      </c>
      <c r="G67" s="184"/>
      <c r="H67" s="185"/>
    </row>
    <row r="68" spans="1:8" x14ac:dyDescent="0.3">
      <c r="A68" s="21" t="s">
        <v>21</v>
      </c>
      <c r="B68" s="22" t="s">
        <v>22</v>
      </c>
      <c r="C68" s="22" t="s">
        <v>23</v>
      </c>
      <c r="D68" s="23" t="s">
        <v>25</v>
      </c>
      <c r="E68" s="24"/>
      <c r="F68" s="186"/>
      <c r="G68" s="187"/>
      <c r="H68" s="188"/>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78" t="s">
        <v>58</v>
      </c>
      <c r="B84" s="179"/>
      <c r="C84" s="179"/>
      <c r="D84" s="96">
        <f>SUM(Garbage_16[Amount])</f>
        <v>0</v>
      </c>
      <c r="E84" s="34"/>
      <c r="F84" s="173" t="s">
        <v>33</v>
      </c>
      <c r="G84" s="174"/>
      <c r="H84" s="174"/>
    </row>
    <row r="85" spans="1:8" x14ac:dyDescent="0.3">
      <c r="A85" s="38"/>
      <c r="B85" s="38"/>
      <c r="C85" s="38"/>
      <c r="D85" s="39"/>
      <c r="E85" s="40"/>
      <c r="F85" s="173"/>
      <c r="G85" s="174"/>
      <c r="H85" s="174"/>
    </row>
    <row r="86" spans="1:8" ht="17.399999999999999" x14ac:dyDescent="0.3">
      <c r="A86" s="191" t="s">
        <v>59</v>
      </c>
      <c r="B86" s="192"/>
      <c r="C86" s="192"/>
      <c r="D86" s="193"/>
      <c r="E86" s="17"/>
      <c r="F86" s="183" t="s">
        <v>60</v>
      </c>
      <c r="G86" s="184"/>
      <c r="H86" s="185"/>
    </row>
    <row r="87" spans="1:8" x14ac:dyDescent="0.3">
      <c r="A87" s="21" t="s">
        <v>21</v>
      </c>
      <c r="B87" s="22" t="s">
        <v>22</v>
      </c>
      <c r="C87" s="22" t="s">
        <v>23</v>
      </c>
      <c r="D87" s="23" t="s">
        <v>25</v>
      </c>
      <c r="E87" s="41"/>
      <c r="F87" s="186"/>
      <c r="G87" s="187"/>
      <c r="H87" s="188"/>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78" t="s">
        <v>61</v>
      </c>
      <c r="B103" s="179"/>
      <c r="C103" s="179"/>
      <c r="D103" s="96">
        <f>SUM(Boarding_16[Amount])</f>
        <v>0</v>
      </c>
      <c r="E103" s="34"/>
      <c r="F103" s="173" t="s">
        <v>33</v>
      </c>
      <c r="G103" s="174"/>
      <c r="H103" s="174"/>
    </row>
    <row r="104" spans="1:8" x14ac:dyDescent="0.3">
      <c r="A104" s="38"/>
      <c r="B104" s="38"/>
      <c r="C104" s="38"/>
      <c r="D104" s="39"/>
      <c r="E104" s="40"/>
      <c r="F104" s="173"/>
      <c r="G104" s="174"/>
      <c r="H104" s="174"/>
    </row>
    <row r="105" spans="1:8" ht="17.399999999999999" x14ac:dyDescent="0.3">
      <c r="A105" s="191" t="s">
        <v>70</v>
      </c>
      <c r="B105" s="192"/>
      <c r="C105" s="192"/>
      <c r="D105" s="193"/>
      <c r="E105" s="17"/>
      <c r="F105" s="183" t="s">
        <v>62</v>
      </c>
      <c r="G105" s="184"/>
      <c r="H105" s="185"/>
    </row>
    <row r="106" spans="1:8" x14ac:dyDescent="0.3">
      <c r="A106" s="21" t="s">
        <v>21</v>
      </c>
      <c r="B106" s="22" t="s">
        <v>22</v>
      </c>
      <c r="C106" s="22" t="s">
        <v>23</v>
      </c>
      <c r="D106" s="23" t="s">
        <v>25</v>
      </c>
      <c r="E106" s="41"/>
      <c r="F106" s="186"/>
      <c r="G106" s="187"/>
      <c r="H106" s="188"/>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78" t="s">
        <v>63</v>
      </c>
      <c r="B122" s="179"/>
      <c r="C122" s="179"/>
      <c r="D122" s="96">
        <f>SUM(Fence_16[Amount])</f>
        <v>0</v>
      </c>
      <c r="E122" s="34"/>
      <c r="F122" s="173" t="s">
        <v>33</v>
      </c>
      <c r="G122" s="174"/>
      <c r="H122" s="174"/>
    </row>
    <row r="123" spans="1:8" x14ac:dyDescent="0.3">
      <c r="F123" s="173"/>
      <c r="G123" s="174"/>
      <c r="H123" s="174"/>
    </row>
    <row r="124" spans="1:8" ht="17.399999999999999" x14ac:dyDescent="0.3">
      <c r="A124" s="191" t="s">
        <v>26</v>
      </c>
      <c r="B124" s="192"/>
      <c r="C124" s="192"/>
      <c r="D124" s="193"/>
      <c r="E124" s="17"/>
      <c r="F124" s="183" t="s">
        <v>11</v>
      </c>
      <c r="G124" s="184"/>
      <c r="H124" s="185"/>
    </row>
    <row r="125" spans="1:8" x14ac:dyDescent="0.3">
      <c r="A125" s="21" t="s">
        <v>21</v>
      </c>
      <c r="B125" s="22" t="s">
        <v>22</v>
      </c>
      <c r="C125" s="22" t="s">
        <v>23</v>
      </c>
      <c r="D125" s="23" t="s">
        <v>25</v>
      </c>
      <c r="E125" s="41"/>
      <c r="F125" s="186"/>
      <c r="G125" s="187"/>
      <c r="H125" s="188"/>
    </row>
    <row r="126" spans="1:8" x14ac:dyDescent="0.3">
      <c r="A126" s="100"/>
      <c r="B126" s="101"/>
      <c r="C126" s="101"/>
      <c r="D126" s="155">
        <v>17310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78" t="s">
        <v>27</v>
      </c>
      <c r="B141" s="179"/>
      <c r="C141" s="179"/>
      <c r="D141" s="96">
        <f>SUM(Demolition_16[Amount])</f>
        <v>17310</v>
      </c>
      <c r="E141" s="34"/>
      <c r="F141" s="173" t="s">
        <v>33</v>
      </c>
      <c r="G141" s="174"/>
      <c r="H141" s="174"/>
    </row>
    <row r="142" spans="1:8" x14ac:dyDescent="0.3">
      <c r="A142" s="38"/>
      <c r="B142" s="38"/>
      <c r="C142" s="38"/>
      <c r="D142" s="39"/>
      <c r="E142" s="40"/>
      <c r="F142" s="173"/>
      <c r="G142" s="174"/>
      <c r="H142" s="174"/>
    </row>
    <row r="143" spans="1:8" ht="17.399999999999999" x14ac:dyDescent="0.3">
      <c r="A143" s="191" t="s">
        <v>64</v>
      </c>
      <c r="B143" s="192"/>
      <c r="C143" s="192"/>
      <c r="D143" s="193"/>
      <c r="E143" s="17"/>
      <c r="F143" s="183" t="s">
        <v>44</v>
      </c>
      <c r="G143" s="184"/>
      <c r="H143" s="185"/>
    </row>
    <row r="144" spans="1:8" x14ac:dyDescent="0.3">
      <c r="A144" s="21" t="s">
        <v>21</v>
      </c>
      <c r="B144" s="22" t="s">
        <v>22</v>
      </c>
      <c r="C144" s="22" t="s">
        <v>23</v>
      </c>
      <c r="D144" s="23" t="s">
        <v>25</v>
      </c>
      <c r="E144" s="41"/>
      <c r="F144" s="186"/>
      <c r="G144" s="187"/>
      <c r="H144" s="188"/>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78" t="s">
        <v>65</v>
      </c>
      <c r="B160" s="179"/>
      <c r="C160" s="179"/>
      <c r="D160" s="96">
        <f>SUM(Rehab_16[Amount])</f>
        <v>0</v>
      </c>
      <c r="E160" s="34"/>
      <c r="F160" s="173" t="s">
        <v>33</v>
      </c>
      <c r="G160" s="174"/>
      <c r="H160" s="174"/>
    </row>
    <row r="161" spans="6:8" x14ac:dyDescent="0.3">
      <c r="F161" s="173"/>
      <c r="G161" s="174"/>
      <c r="H161" s="174"/>
    </row>
  </sheetData>
  <sheetProtection algorithmName="SHA-512" hashValue="lH1FfLW+c8VIiweUqJ0mZicX7LADffa/NTidc1jUE+npgGDk1uzitvw2pFfTES85Oquhnce11BSe/1HlSxWI8w==" saltValue="dkMwZcDsswj0btRCBsf/yw=="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N161"/>
  <sheetViews>
    <sheetView showGridLines="0" zoomScaleNormal="100" workbookViewId="0">
      <pane ySplit="9" topLeftCell="A112" activePane="bottomLeft" state="frozen"/>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5" t="s">
        <v>24</v>
      </c>
      <c r="B1" s="175"/>
      <c r="C1" s="175"/>
      <c r="D1" s="175"/>
      <c r="E1" s="1"/>
      <c r="F1" s="2"/>
      <c r="G1" s="2"/>
      <c r="H1" s="1"/>
    </row>
    <row r="2" spans="1:14" ht="24.9" customHeight="1" x14ac:dyDescent="0.3">
      <c r="A2" s="176" t="s">
        <v>71</v>
      </c>
      <c r="B2" s="176"/>
      <c r="C2" s="176"/>
      <c r="D2" s="176"/>
      <c r="E2" s="4"/>
      <c r="F2" s="97"/>
      <c r="G2" s="97"/>
      <c r="H2" s="5"/>
    </row>
    <row r="3" spans="1:14" ht="31.5" customHeight="1" x14ac:dyDescent="0.3">
      <c r="A3" s="176"/>
      <c r="B3" s="176"/>
      <c r="C3" s="176"/>
      <c r="D3" s="176"/>
      <c r="E3" s="4"/>
      <c r="F3" s="97"/>
      <c r="G3" s="97"/>
      <c r="H3" s="5"/>
    </row>
    <row r="4" spans="1:14" ht="15" customHeight="1" x14ac:dyDescent="0.25">
      <c r="A4" s="75" t="s">
        <v>19</v>
      </c>
      <c r="B4" s="194" t="str">
        <f>IF('Summary Sheet'!B49="","",'Summary Sheet'!B49)</f>
        <v>135 E 118TH AVE</v>
      </c>
      <c r="C4" s="194"/>
      <c r="D4" s="97"/>
      <c r="E4" s="4"/>
      <c r="F4" s="97"/>
      <c r="G4" s="97"/>
      <c r="H4" s="5"/>
    </row>
    <row r="5" spans="1:14" ht="15" customHeight="1" x14ac:dyDescent="0.25">
      <c r="A5" s="75" t="s">
        <v>20</v>
      </c>
      <c r="B5" s="195" t="str">
        <f>IF('Summary Sheet'!C49="","",'Summary Sheet'!C49)</f>
        <v/>
      </c>
      <c r="C5" s="195"/>
      <c r="D5" s="97"/>
      <c r="E5" s="4"/>
      <c r="F5" s="97"/>
      <c r="G5" s="97"/>
      <c r="H5" s="5"/>
    </row>
    <row r="6" spans="1:14" ht="15" customHeight="1" x14ac:dyDescent="0.25">
      <c r="A6" s="75" t="s">
        <v>36</v>
      </c>
      <c r="B6" s="177"/>
      <c r="C6" s="177"/>
      <c r="D6" s="6"/>
      <c r="E6" s="7"/>
    </row>
    <row r="7" spans="1:14" ht="15" customHeight="1" x14ac:dyDescent="0.25">
      <c r="A7" s="7"/>
      <c r="B7" s="196" t="s">
        <v>34</v>
      </c>
      <c r="C7" s="196"/>
      <c r="D7" s="10"/>
    </row>
    <row r="8" spans="1:14" ht="20.100000000000001" customHeight="1" x14ac:dyDescent="0.25">
      <c r="B8" s="11"/>
      <c r="C8" s="11"/>
      <c r="D8" s="12" t="s">
        <v>31</v>
      </c>
      <c r="F8" s="180" t="s">
        <v>32</v>
      </c>
      <c r="G8" s="181"/>
      <c r="H8" s="182"/>
    </row>
    <row r="9" spans="1:14" s="14" customFormat="1" ht="20.100000000000001" customHeight="1" x14ac:dyDescent="0.25">
      <c r="A9" s="197"/>
      <c r="B9" s="197"/>
      <c r="C9" s="197"/>
      <c r="D9" s="13">
        <f>SUM(D27,D46,D65,D84,D103,D122,D141,D160)</f>
        <v>16810</v>
      </c>
      <c r="F9" s="15" t="s">
        <v>28</v>
      </c>
      <c r="G9" s="15" t="s">
        <v>29</v>
      </c>
      <c r="H9" s="15" t="s">
        <v>30</v>
      </c>
      <c r="I9" s="16"/>
      <c r="J9" s="16"/>
      <c r="K9" s="16"/>
      <c r="L9" s="16"/>
      <c r="M9" s="16"/>
      <c r="N9" s="16"/>
    </row>
    <row r="10" spans="1:14" s="17" customFormat="1" ht="23.1" customHeight="1" x14ac:dyDescent="0.3">
      <c r="A10" s="198" t="s">
        <v>51</v>
      </c>
      <c r="B10" s="198"/>
      <c r="C10" s="198"/>
      <c r="D10" s="198"/>
      <c r="F10" s="183" t="s">
        <v>66</v>
      </c>
      <c r="G10" s="184"/>
      <c r="H10" s="185"/>
      <c r="I10" s="18"/>
      <c r="J10" s="18"/>
      <c r="K10" s="18"/>
      <c r="L10" s="18"/>
      <c r="M10" s="19"/>
      <c r="N10" s="20"/>
    </row>
    <row r="11" spans="1:14" s="24" customFormat="1" ht="12.75" customHeight="1" x14ac:dyDescent="0.25">
      <c r="A11" s="21" t="s">
        <v>21</v>
      </c>
      <c r="B11" s="22" t="s">
        <v>22</v>
      </c>
      <c r="C11" s="22" t="s">
        <v>23</v>
      </c>
      <c r="D11" s="23" t="s">
        <v>25</v>
      </c>
      <c r="F11" s="186"/>
      <c r="G11" s="187"/>
      <c r="H11" s="188"/>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78" t="s">
        <v>53</v>
      </c>
      <c r="B27" s="179"/>
      <c r="C27" s="179"/>
      <c r="D27" s="96">
        <f>SUM(Grass_17[Amount])</f>
        <v>0</v>
      </c>
      <c r="F27" s="173" t="s">
        <v>33</v>
      </c>
      <c r="G27" s="174"/>
      <c r="H27" s="174"/>
      <c r="I27" s="35"/>
      <c r="J27" s="35"/>
      <c r="K27" s="35"/>
      <c r="L27" s="35"/>
      <c r="M27" s="36"/>
      <c r="N27" s="37"/>
    </row>
    <row r="28" spans="1:14" s="40" customFormat="1" ht="11.1" customHeight="1" x14ac:dyDescent="0.3">
      <c r="A28" s="38"/>
      <c r="B28" s="38"/>
      <c r="C28" s="38"/>
      <c r="D28" s="39"/>
      <c r="F28" s="173"/>
      <c r="G28" s="174"/>
      <c r="H28" s="174"/>
      <c r="I28" s="35"/>
      <c r="J28" s="35"/>
      <c r="K28" s="35"/>
      <c r="L28" s="35"/>
      <c r="M28" s="36"/>
      <c r="N28" s="37"/>
    </row>
    <row r="29" spans="1:14" s="17" customFormat="1" ht="23.1" customHeight="1" x14ac:dyDescent="0.3">
      <c r="A29" s="191" t="s">
        <v>67</v>
      </c>
      <c r="B29" s="192"/>
      <c r="C29" s="192"/>
      <c r="D29" s="193"/>
      <c r="F29" s="183" t="s">
        <v>52</v>
      </c>
      <c r="G29" s="184"/>
      <c r="H29" s="185"/>
      <c r="I29" s="18"/>
      <c r="J29" s="18"/>
      <c r="K29" s="18"/>
      <c r="L29" s="18"/>
      <c r="M29" s="19"/>
      <c r="N29" s="20"/>
    </row>
    <row r="30" spans="1:14" s="41" customFormat="1" ht="12.75" customHeight="1" x14ac:dyDescent="0.25">
      <c r="A30" s="21" t="s">
        <v>21</v>
      </c>
      <c r="B30" s="22" t="s">
        <v>22</v>
      </c>
      <c r="C30" s="22" t="s">
        <v>23</v>
      </c>
      <c r="D30" s="23" t="s">
        <v>25</v>
      </c>
      <c r="F30" s="186"/>
      <c r="G30" s="187"/>
      <c r="H30" s="188"/>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98"/>
      <c r="J44" s="29"/>
      <c r="K44" s="29"/>
      <c r="L44" s="98"/>
      <c r="M44" s="30"/>
      <c r="N44" s="16"/>
    </row>
    <row r="45" spans="1:14" x14ac:dyDescent="0.3">
      <c r="A45" s="106"/>
      <c r="B45" s="107"/>
      <c r="C45" s="107"/>
      <c r="D45" s="114"/>
      <c r="F45" s="103"/>
      <c r="G45" s="104"/>
      <c r="H45" s="109"/>
      <c r="I45" s="98"/>
      <c r="J45" s="29"/>
      <c r="K45" s="29"/>
      <c r="L45" s="98"/>
      <c r="M45" s="30"/>
      <c r="N45" s="16"/>
    </row>
    <row r="46" spans="1:14" s="34" customFormat="1" x14ac:dyDescent="0.3">
      <c r="A46" s="178" t="s">
        <v>54</v>
      </c>
      <c r="B46" s="179"/>
      <c r="C46" s="179"/>
      <c r="D46" s="96">
        <f>SUM(Tree_17[Amount])</f>
        <v>0</v>
      </c>
      <c r="F46" s="173" t="s">
        <v>33</v>
      </c>
      <c r="G46" s="174"/>
      <c r="H46" s="174"/>
      <c r="I46" s="43"/>
      <c r="J46" s="43"/>
      <c r="K46" s="43"/>
      <c r="L46" s="43"/>
      <c r="M46" s="36"/>
      <c r="N46" s="37"/>
    </row>
    <row r="47" spans="1:14" s="40" customFormat="1" ht="11.1" customHeight="1" x14ac:dyDescent="0.3">
      <c r="A47" s="38"/>
      <c r="B47" s="38"/>
      <c r="C47" s="38"/>
      <c r="D47" s="39"/>
      <c r="F47" s="173"/>
      <c r="G47" s="174"/>
      <c r="H47" s="174"/>
      <c r="I47" s="43"/>
      <c r="J47" s="43"/>
      <c r="K47" s="43"/>
      <c r="L47" s="43"/>
      <c r="M47" s="36"/>
      <c r="N47" s="37"/>
    </row>
    <row r="48" spans="1:14" s="17" customFormat="1" ht="23.1" customHeight="1" x14ac:dyDescent="0.3">
      <c r="A48" s="191" t="s">
        <v>68</v>
      </c>
      <c r="B48" s="192"/>
      <c r="C48" s="192"/>
      <c r="D48" s="193"/>
      <c r="F48" s="183" t="s">
        <v>55</v>
      </c>
      <c r="G48" s="184"/>
      <c r="H48" s="185"/>
      <c r="I48" s="44"/>
      <c r="J48" s="44"/>
      <c r="K48" s="44"/>
      <c r="L48" s="44"/>
      <c r="M48" s="19"/>
      <c r="N48" s="20"/>
    </row>
    <row r="49" spans="1:14" s="41" customFormat="1" ht="12.75" customHeight="1" x14ac:dyDescent="0.25">
      <c r="A49" s="21" t="s">
        <v>21</v>
      </c>
      <c r="B49" s="22" t="s">
        <v>22</v>
      </c>
      <c r="C49" s="22" t="s">
        <v>23</v>
      </c>
      <c r="D49" s="23" t="s">
        <v>25</v>
      </c>
      <c r="F49" s="186"/>
      <c r="G49" s="187"/>
      <c r="H49" s="188"/>
      <c r="I49" s="98"/>
      <c r="J49" s="98"/>
      <c r="K49" s="98"/>
      <c r="L49" s="98"/>
      <c r="M49" s="30"/>
      <c r="N49" s="42"/>
    </row>
    <row r="50" spans="1:14" x14ac:dyDescent="0.3">
      <c r="A50" s="100"/>
      <c r="B50" s="101"/>
      <c r="C50" s="101"/>
      <c r="D50" s="112"/>
      <c r="F50" s="103"/>
      <c r="G50" s="104"/>
      <c r="H50" s="109"/>
      <c r="I50" s="98"/>
      <c r="J50" s="98"/>
      <c r="K50" s="98"/>
      <c r="L50" s="98"/>
      <c r="M50" s="30"/>
      <c r="N50" s="16"/>
    </row>
    <row r="51" spans="1:14" x14ac:dyDescent="0.3">
      <c r="A51" s="106"/>
      <c r="B51" s="107"/>
      <c r="C51" s="107"/>
      <c r="D51" s="113"/>
      <c r="F51" s="103"/>
      <c r="G51" s="104"/>
      <c r="H51" s="109"/>
      <c r="I51" s="98"/>
      <c r="J51" s="98"/>
      <c r="K51" s="98"/>
      <c r="L51" s="98"/>
      <c r="M51" s="30"/>
      <c r="N51" s="16"/>
    </row>
    <row r="52" spans="1:14" x14ac:dyDescent="0.3">
      <c r="A52" s="106"/>
      <c r="B52" s="107"/>
      <c r="C52" s="107"/>
      <c r="D52" s="114"/>
      <c r="F52" s="103"/>
      <c r="H52" s="109"/>
      <c r="I52" s="98"/>
      <c r="J52" s="98"/>
      <c r="K52" s="98"/>
      <c r="L52" s="98"/>
      <c r="M52" s="30"/>
      <c r="N52" s="16"/>
    </row>
    <row r="53" spans="1:14" x14ac:dyDescent="0.3">
      <c r="A53" s="106"/>
      <c r="B53" s="107"/>
      <c r="C53" s="107"/>
      <c r="D53" s="113"/>
      <c r="F53" s="103"/>
      <c r="G53" s="104"/>
      <c r="H53" s="109"/>
      <c r="I53" s="98"/>
      <c r="J53" s="98"/>
      <c r="K53" s="98"/>
      <c r="L53" s="98"/>
      <c r="M53" s="30"/>
      <c r="N53" s="16"/>
    </row>
    <row r="54" spans="1:14" x14ac:dyDescent="0.3">
      <c r="A54" s="106"/>
      <c r="B54" s="107"/>
      <c r="C54" s="107"/>
      <c r="D54" s="114"/>
      <c r="F54" s="103"/>
      <c r="G54" s="104"/>
      <c r="H54" s="109"/>
      <c r="I54" s="98"/>
      <c r="J54" s="98"/>
      <c r="K54" s="98"/>
      <c r="L54" s="98"/>
      <c r="M54" s="30"/>
      <c r="N54" s="16"/>
    </row>
    <row r="55" spans="1:14" x14ac:dyDescent="0.3">
      <c r="A55" s="106"/>
      <c r="B55" s="107"/>
      <c r="C55" s="107"/>
      <c r="D55" s="113"/>
      <c r="F55" s="103"/>
      <c r="G55" s="104"/>
      <c r="H55" s="109"/>
      <c r="I55" s="98"/>
      <c r="J55" s="98"/>
      <c r="K55" s="98"/>
      <c r="L55" s="98"/>
      <c r="M55" s="30"/>
      <c r="N55" s="16"/>
    </row>
    <row r="56" spans="1:14" x14ac:dyDescent="0.3">
      <c r="A56" s="106"/>
      <c r="B56" s="107"/>
      <c r="C56" s="107"/>
      <c r="D56" s="114"/>
      <c r="F56" s="103"/>
      <c r="G56" s="104"/>
      <c r="H56" s="109"/>
      <c r="I56" s="98"/>
      <c r="J56" s="98"/>
      <c r="K56" s="98"/>
      <c r="L56" s="98"/>
      <c r="M56" s="30"/>
      <c r="N56" s="16"/>
    </row>
    <row r="57" spans="1:14" x14ac:dyDescent="0.3">
      <c r="A57" s="106"/>
      <c r="B57" s="107"/>
      <c r="C57" s="107"/>
      <c r="D57" s="113"/>
      <c r="F57" s="103"/>
      <c r="G57" s="104"/>
      <c r="H57" s="109"/>
      <c r="I57" s="98"/>
      <c r="J57" s="98"/>
      <c r="K57" s="98"/>
      <c r="L57" s="98"/>
      <c r="M57" s="30"/>
      <c r="N57" s="16"/>
    </row>
    <row r="58" spans="1:14" x14ac:dyDescent="0.3">
      <c r="A58" s="106"/>
      <c r="B58" s="107"/>
      <c r="C58" s="107"/>
      <c r="D58" s="114"/>
      <c r="F58" s="103"/>
      <c r="G58" s="104"/>
      <c r="H58" s="109"/>
      <c r="I58" s="98"/>
      <c r="J58" s="98"/>
      <c r="K58" s="98"/>
      <c r="L58" s="98"/>
      <c r="M58" s="30"/>
      <c r="N58" s="16"/>
    </row>
    <row r="59" spans="1:14" x14ac:dyDescent="0.3">
      <c r="A59" s="106"/>
      <c r="B59" s="107"/>
      <c r="C59" s="107"/>
      <c r="D59" s="113"/>
      <c r="F59" s="103"/>
      <c r="G59" s="104"/>
      <c r="H59" s="109"/>
      <c r="I59" s="98"/>
      <c r="J59" s="190"/>
      <c r="K59" s="190"/>
      <c r="L59" s="98"/>
      <c r="M59" s="30"/>
      <c r="N59" s="16"/>
    </row>
    <row r="60" spans="1:14" x14ac:dyDescent="0.3">
      <c r="A60" s="106"/>
      <c r="B60" s="107"/>
      <c r="C60" s="107"/>
      <c r="D60" s="114"/>
      <c r="F60" s="103"/>
      <c r="G60" s="104"/>
      <c r="H60" s="109"/>
      <c r="I60" s="189"/>
      <c r="J60" s="189"/>
      <c r="K60" s="189"/>
      <c r="L60" s="189"/>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78" t="s">
        <v>56</v>
      </c>
      <c r="B65" s="179"/>
      <c r="C65" s="179"/>
      <c r="D65" s="96">
        <f>SUM(Pest_17[Amount])</f>
        <v>0</v>
      </c>
      <c r="F65" s="173" t="s">
        <v>33</v>
      </c>
      <c r="G65" s="174"/>
      <c r="H65" s="174"/>
    </row>
    <row r="66" spans="1:8" x14ac:dyDescent="0.3">
      <c r="F66" s="173"/>
      <c r="G66" s="174"/>
      <c r="H66" s="174"/>
    </row>
    <row r="67" spans="1:8" ht="17.399999999999999" x14ac:dyDescent="0.3">
      <c r="A67" s="198" t="s">
        <v>69</v>
      </c>
      <c r="B67" s="198"/>
      <c r="C67" s="198"/>
      <c r="D67" s="198"/>
      <c r="E67" s="17"/>
      <c r="F67" s="183" t="s">
        <v>57</v>
      </c>
      <c r="G67" s="184"/>
      <c r="H67" s="185"/>
    </row>
    <row r="68" spans="1:8" x14ac:dyDescent="0.3">
      <c r="A68" s="21" t="s">
        <v>21</v>
      </c>
      <c r="B68" s="22" t="s">
        <v>22</v>
      </c>
      <c r="C68" s="22" t="s">
        <v>23</v>
      </c>
      <c r="D68" s="23" t="s">
        <v>25</v>
      </c>
      <c r="E68" s="24"/>
      <c r="F68" s="186"/>
      <c r="G68" s="187"/>
      <c r="H68" s="188"/>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78" t="s">
        <v>58</v>
      </c>
      <c r="B84" s="179"/>
      <c r="C84" s="179"/>
      <c r="D84" s="96">
        <f>SUM(Garbage_17[Amount])</f>
        <v>0</v>
      </c>
      <c r="E84" s="34"/>
      <c r="F84" s="173" t="s">
        <v>33</v>
      </c>
      <c r="G84" s="174"/>
      <c r="H84" s="174"/>
    </row>
    <row r="85" spans="1:8" x14ac:dyDescent="0.3">
      <c r="A85" s="38"/>
      <c r="B85" s="38"/>
      <c r="C85" s="38"/>
      <c r="D85" s="39"/>
      <c r="E85" s="40"/>
      <c r="F85" s="173"/>
      <c r="G85" s="174"/>
      <c r="H85" s="174"/>
    </row>
    <row r="86" spans="1:8" ht="17.399999999999999" x14ac:dyDescent="0.3">
      <c r="A86" s="191" t="s">
        <v>59</v>
      </c>
      <c r="B86" s="192"/>
      <c r="C86" s="192"/>
      <c r="D86" s="193"/>
      <c r="E86" s="17"/>
      <c r="F86" s="183" t="s">
        <v>60</v>
      </c>
      <c r="G86" s="184"/>
      <c r="H86" s="185"/>
    </row>
    <row r="87" spans="1:8" x14ac:dyDescent="0.3">
      <c r="A87" s="21" t="s">
        <v>21</v>
      </c>
      <c r="B87" s="22" t="s">
        <v>22</v>
      </c>
      <c r="C87" s="22" t="s">
        <v>23</v>
      </c>
      <c r="D87" s="23" t="s">
        <v>25</v>
      </c>
      <c r="E87" s="41"/>
      <c r="F87" s="186"/>
      <c r="G87" s="187"/>
      <c r="H87" s="188"/>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78" t="s">
        <v>61</v>
      </c>
      <c r="B103" s="179"/>
      <c r="C103" s="179"/>
      <c r="D103" s="96">
        <f>SUM(Boarding_17[Amount])</f>
        <v>0</v>
      </c>
      <c r="E103" s="34"/>
      <c r="F103" s="173" t="s">
        <v>33</v>
      </c>
      <c r="G103" s="174"/>
      <c r="H103" s="174"/>
    </row>
    <row r="104" spans="1:8" x14ac:dyDescent="0.3">
      <c r="A104" s="38"/>
      <c r="B104" s="38"/>
      <c r="C104" s="38"/>
      <c r="D104" s="39"/>
      <c r="E104" s="40"/>
      <c r="F104" s="173"/>
      <c r="G104" s="174"/>
      <c r="H104" s="174"/>
    </row>
    <row r="105" spans="1:8" ht="17.399999999999999" x14ac:dyDescent="0.3">
      <c r="A105" s="191" t="s">
        <v>70</v>
      </c>
      <c r="B105" s="192"/>
      <c r="C105" s="192"/>
      <c r="D105" s="193"/>
      <c r="E105" s="17"/>
      <c r="F105" s="183" t="s">
        <v>62</v>
      </c>
      <c r="G105" s="184"/>
      <c r="H105" s="185"/>
    </row>
    <row r="106" spans="1:8" x14ac:dyDescent="0.3">
      <c r="A106" s="21" t="s">
        <v>21</v>
      </c>
      <c r="B106" s="22" t="s">
        <v>22</v>
      </c>
      <c r="C106" s="22" t="s">
        <v>23</v>
      </c>
      <c r="D106" s="23" t="s">
        <v>25</v>
      </c>
      <c r="E106" s="41"/>
      <c r="F106" s="186"/>
      <c r="G106" s="187"/>
      <c r="H106" s="188"/>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78" t="s">
        <v>63</v>
      </c>
      <c r="B122" s="179"/>
      <c r="C122" s="179"/>
      <c r="D122" s="96">
        <f>SUM(Fence_17[Amount])</f>
        <v>0</v>
      </c>
      <c r="E122" s="34"/>
      <c r="F122" s="173" t="s">
        <v>33</v>
      </c>
      <c r="G122" s="174"/>
      <c r="H122" s="174"/>
    </row>
    <row r="123" spans="1:8" x14ac:dyDescent="0.3">
      <c r="F123" s="173"/>
      <c r="G123" s="174"/>
      <c r="H123" s="174"/>
    </row>
    <row r="124" spans="1:8" ht="17.399999999999999" x14ac:dyDescent="0.3">
      <c r="A124" s="191" t="s">
        <v>26</v>
      </c>
      <c r="B124" s="192"/>
      <c r="C124" s="192"/>
      <c r="D124" s="193"/>
      <c r="E124" s="17"/>
      <c r="F124" s="183" t="s">
        <v>11</v>
      </c>
      <c r="G124" s="184"/>
      <c r="H124" s="185"/>
    </row>
    <row r="125" spans="1:8" x14ac:dyDescent="0.3">
      <c r="A125" s="21" t="s">
        <v>21</v>
      </c>
      <c r="B125" s="22" t="s">
        <v>22</v>
      </c>
      <c r="C125" s="22" t="s">
        <v>23</v>
      </c>
      <c r="D125" s="23" t="s">
        <v>25</v>
      </c>
      <c r="E125" s="41"/>
      <c r="F125" s="186"/>
      <c r="G125" s="187"/>
      <c r="H125" s="188"/>
    </row>
    <row r="126" spans="1:8" x14ac:dyDescent="0.3">
      <c r="A126" s="100"/>
      <c r="B126" s="101"/>
      <c r="C126" s="101"/>
      <c r="D126" s="112">
        <v>16810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78" t="s">
        <v>27</v>
      </c>
      <c r="B141" s="179"/>
      <c r="C141" s="179"/>
      <c r="D141" s="96">
        <f>SUM(Demolition_17[Amount])</f>
        <v>16810</v>
      </c>
      <c r="E141" s="34"/>
      <c r="F141" s="173" t="s">
        <v>33</v>
      </c>
      <c r="G141" s="174"/>
      <c r="H141" s="174"/>
    </row>
    <row r="142" spans="1:8" x14ac:dyDescent="0.3">
      <c r="A142" s="38"/>
      <c r="B142" s="38"/>
      <c r="C142" s="38"/>
      <c r="D142" s="39"/>
      <c r="E142" s="40"/>
      <c r="F142" s="173"/>
      <c r="G142" s="174"/>
      <c r="H142" s="174"/>
    </row>
    <row r="143" spans="1:8" ht="17.399999999999999" x14ac:dyDescent="0.3">
      <c r="A143" s="191" t="s">
        <v>64</v>
      </c>
      <c r="B143" s="192"/>
      <c r="C143" s="192"/>
      <c r="D143" s="193"/>
      <c r="E143" s="17"/>
      <c r="F143" s="183" t="s">
        <v>44</v>
      </c>
      <c r="G143" s="184"/>
      <c r="H143" s="185"/>
    </row>
    <row r="144" spans="1:8" x14ac:dyDescent="0.3">
      <c r="A144" s="21" t="s">
        <v>21</v>
      </c>
      <c r="B144" s="22" t="s">
        <v>22</v>
      </c>
      <c r="C144" s="22" t="s">
        <v>23</v>
      </c>
      <c r="D144" s="23" t="s">
        <v>25</v>
      </c>
      <c r="E144" s="41"/>
      <c r="F144" s="186"/>
      <c r="G144" s="187"/>
      <c r="H144" s="188"/>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78" t="s">
        <v>65</v>
      </c>
      <c r="B160" s="179"/>
      <c r="C160" s="179"/>
      <c r="D160" s="96">
        <f>SUM(Rehab_17[Amount])</f>
        <v>0</v>
      </c>
      <c r="E160" s="34"/>
      <c r="F160" s="173" t="s">
        <v>33</v>
      </c>
      <c r="G160" s="174"/>
      <c r="H160" s="174"/>
    </row>
    <row r="161" spans="6:8" x14ac:dyDescent="0.3">
      <c r="F161" s="173"/>
      <c r="G161" s="174"/>
      <c r="H161" s="174"/>
    </row>
  </sheetData>
  <sheetProtection algorithmName="SHA-512" hashValue="gqWekhs5utlyVf9PRismLdW6HLMD6HvI7AIVx3cr+vM4dvAaKJIlkNIE3PDssZW8N4HCyTtqwzL5IvRpcTbo2g==" saltValue="YqK2V9wsSwq/JA2TWfhg2g=="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N161"/>
  <sheetViews>
    <sheetView showGridLines="0" zoomScaleNormal="100" workbookViewId="0">
      <pane ySplit="9" topLeftCell="A115" activePane="bottomLeft" state="frozen"/>
      <selection pane="bottomLeft" activeCell="B6" sqref="B6:C6"/>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5" t="s">
        <v>24</v>
      </c>
      <c r="B1" s="175"/>
      <c r="C1" s="175"/>
      <c r="D1" s="175"/>
      <c r="E1" s="1"/>
      <c r="F1" s="2"/>
      <c r="G1" s="2"/>
      <c r="H1" s="1"/>
    </row>
    <row r="2" spans="1:14" ht="24.9" customHeight="1" x14ac:dyDescent="0.3">
      <c r="A2" s="176" t="s">
        <v>71</v>
      </c>
      <c r="B2" s="176"/>
      <c r="C2" s="176"/>
      <c r="D2" s="176"/>
      <c r="E2" s="4"/>
      <c r="F2" s="97"/>
      <c r="G2" s="97"/>
      <c r="H2" s="5"/>
    </row>
    <row r="3" spans="1:14" ht="31.5" customHeight="1" x14ac:dyDescent="0.3">
      <c r="A3" s="176"/>
      <c r="B3" s="176"/>
      <c r="C3" s="176"/>
      <c r="D3" s="176"/>
      <c r="E3" s="4"/>
      <c r="F3" s="97"/>
      <c r="G3" s="97"/>
      <c r="H3" s="5"/>
    </row>
    <row r="4" spans="1:14" ht="15" customHeight="1" x14ac:dyDescent="0.25">
      <c r="A4" s="75" t="s">
        <v>19</v>
      </c>
      <c r="B4" s="194" t="str">
        <f>IF('Summary Sheet'!B50="","",'Summary Sheet'!B50)</f>
        <v>1418 S KEDVALE AVE</v>
      </c>
      <c r="C4" s="194"/>
      <c r="D4" s="97"/>
      <c r="E4" s="4"/>
      <c r="F4" s="97"/>
      <c r="G4" s="97"/>
      <c r="H4" s="5"/>
    </row>
    <row r="5" spans="1:14" ht="15" customHeight="1" x14ac:dyDescent="0.25">
      <c r="A5" s="75" t="s">
        <v>20</v>
      </c>
      <c r="B5" s="195" t="str">
        <f>IF('Summary Sheet'!C50="","",'Summary Sheet'!C50)</f>
        <v>16-22-219-024-0000</v>
      </c>
      <c r="C5" s="195"/>
      <c r="D5" s="97"/>
      <c r="E5" s="4"/>
      <c r="F5" s="97"/>
      <c r="G5" s="97"/>
      <c r="H5" s="5"/>
    </row>
    <row r="6" spans="1:14" ht="15" customHeight="1" x14ac:dyDescent="0.25">
      <c r="A6" s="75" t="s">
        <v>36</v>
      </c>
      <c r="B6" s="177">
        <v>1</v>
      </c>
      <c r="C6" s="177"/>
      <c r="D6" s="6"/>
      <c r="E6" s="7"/>
    </row>
    <row r="7" spans="1:14" ht="15" customHeight="1" x14ac:dyDescent="0.25">
      <c r="A7" s="7"/>
      <c r="B7" s="196" t="s">
        <v>34</v>
      </c>
      <c r="C7" s="196"/>
      <c r="D7" s="10"/>
    </row>
    <row r="8" spans="1:14" ht="20.100000000000001" customHeight="1" x14ac:dyDescent="0.25">
      <c r="B8" s="11"/>
      <c r="C8" s="11"/>
      <c r="D8" s="12" t="s">
        <v>31</v>
      </c>
      <c r="F8" s="180" t="s">
        <v>32</v>
      </c>
      <c r="G8" s="181"/>
      <c r="H8" s="182"/>
    </row>
    <row r="9" spans="1:14" s="14" customFormat="1" ht="20.100000000000001" customHeight="1" x14ac:dyDescent="0.25">
      <c r="A9" s="197"/>
      <c r="B9" s="197"/>
      <c r="C9" s="197"/>
      <c r="D9" s="13">
        <f>SUM(D27,D46,D65,D84,D103,D122,D141,D160)</f>
        <v>23510</v>
      </c>
      <c r="F9" s="15" t="s">
        <v>28</v>
      </c>
      <c r="G9" s="15" t="s">
        <v>29</v>
      </c>
      <c r="H9" s="15" t="s">
        <v>30</v>
      </c>
      <c r="I9" s="16"/>
      <c r="J9" s="16"/>
      <c r="K9" s="16"/>
      <c r="L9" s="16"/>
      <c r="M9" s="16"/>
      <c r="N9" s="16"/>
    </row>
    <row r="10" spans="1:14" s="17" customFormat="1" ht="23.1" customHeight="1" x14ac:dyDescent="0.3">
      <c r="A10" s="198" t="s">
        <v>51</v>
      </c>
      <c r="B10" s="198"/>
      <c r="C10" s="198"/>
      <c r="D10" s="198"/>
      <c r="F10" s="183" t="s">
        <v>66</v>
      </c>
      <c r="G10" s="184"/>
      <c r="H10" s="185"/>
      <c r="I10" s="18"/>
      <c r="J10" s="18"/>
      <c r="K10" s="18"/>
      <c r="L10" s="18"/>
      <c r="M10" s="19"/>
      <c r="N10" s="20"/>
    </row>
    <row r="11" spans="1:14" s="24" customFormat="1" ht="12.75" customHeight="1" x14ac:dyDescent="0.25">
      <c r="A11" s="21" t="s">
        <v>21</v>
      </c>
      <c r="B11" s="22" t="s">
        <v>22</v>
      </c>
      <c r="C11" s="22" t="s">
        <v>23</v>
      </c>
      <c r="D11" s="23" t="s">
        <v>25</v>
      </c>
      <c r="F11" s="186"/>
      <c r="G11" s="187"/>
      <c r="H11" s="188"/>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78" t="s">
        <v>53</v>
      </c>
      <c r="B27" s="179"/>
      <c r="C27" s="179"/>
      <c r="D27" s="96">
        <f>SUM(Grass_18[Amount])</f>
        <v>0</v>
      </c>
      <c r="F27" s="173" t="s">
        <v>33</v>
      </c>
      <c r="G27" s="174"/>
      <c r="H27" s="174"/>
      <c r="I27" s="35"/>
      <c r="J27" s="35"/>
      <c r="K27" s="35"/>
      <c r="L27" s="35"/>
      <c r="M27" s="36"/>
      <c r="N27" s="37"/>
    </row>
    <row r="28" spans="1:14" s="40" customFormat="1" ht="11.1" customHeight="1" x14ac:dyDescent="0.3">
      <c r="A28" s="38"/>
      <c r="B28" s="38"/>
      <c r="C28" s="38"/>
      <c r="D28" s="39"/>
      <c r="F28" s="173"/>
      <c r="G28" s="174"/>
      <c r="H28" s="174"/>
      <c r="I28" s="35"/>
      <c r="J28" s="35"/>
      <c r="K28" s="35"/>
      <c r="L28" s="35"/>
      <c r="M28" s="36"/>
      <c r="N28" s="37"/>
    </row>
    <row r="29" spans="1:14" s="17" customFormat="1" ht="23.1" customHeight="1" x14ac:dyDescent="0.3">
      <c r="A29" s="191" t="s">
        <v>67</v>
      </c>
      <c r="B29" s="192"/>
      <c r="C29" s="192"/>
      <c r="D29" s="193"/>
      <c r="F29" s="183" t="s">
        <v>52</v>
      </c>
      <c r="G29" s="184"/>
      <c r="H29" s="185"/>
      <c r="I29" s="18"/>
      <c r="J29" s="18"/>
      <c r="K29" s="18"/>
      <c r="L29" s="18"/>
      <c r="M29" s="19"/>
      <c r="N29" s="20"/>
    </row>
    <row r="30" spans="1:14" s="41" customFormat="1" ht="12.75" customHeight="1" x14ac:dyDescent="0.25">
      <c r="A30" s="21" t="s">
        <v>21</v>
      </c>
      <c r="B30" s="22" t="s">
        <v>22</v>
      </c>
      <c r="C30" s="22" t="s">
        <v>23</v>
      </c>
      <c r="D30" s="23" t="s">
        <v>25</v>
      </c>
      <c r="F30" s="186"/>
      <c r="G30" s="187"/>
      <c r="H30" s="188"/>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98"/>
      <c r="J44" s="29"/>
      <c r="K44" s="29"/>
      <c r="L44" s="98"/>
      <c r="M44" s="30"/>
      <c r="N44" s="16"/>
    </row>
    <row r="45" spans="1:14" x14ac:dyDescent="0.3">
      <c r="A45" s="106"/>
      <c r="B45" s="107"/>
      <c r="C45" s="107"/>
      <c r="D45" s="114"/>
      <c r="F45" s="103"/>
      <c r="G45" s="104"/>
      <c r="H45" s="109"/>
      <c r="I45" s="98"/>
      <c r="J45" s="29"/>
      <c r="K45" s="29"/>
      <c r="L45" s="98"/>
      <c r="M45" s="30"/>
      <c r="N45" s="16"/>
    </row>
    <row r="46" spans="1:14" s="34" customFormat="1" x14ac:dyDescent="0.3">
      <c r="A46" s="178" t="s">
        <v>54</v>
      </c>
      <c r="B46" s="179"/>
      <c r="C46" s="179"/>
      <c r="D46" s="96">
        <f>SUM(Tree_18[Amount])</f>
        <v>0</v>
      </c>
      <c r="F46" s="173" t="s">
        <v>33</v>
      </c>
      <c r="G46" s="174"/>
      <c r="H46" s="174"/>
      <c r="I46" s="43"/>
      <c r="J46" s="43"/>
      <c r="K46" s="43"/>
      <c r="L46" s="43"/>
      <c r="M46" s="36"/>
      <c r="N46" s="37"/>
    </row>
    <row r="47" spans="1:14" s="40" customFormat="1" ht="11.1" customHeight="1" x14ac:dyDescent="0.3">
      <c r="A47" s="38"/>
      <c r="B47" s="38"/>
      <c r="C47" s="38"/>
      <c r="D47" s="39"/>
      <c r="F47" s="173"/>
      <c r="G47" s="174"/>
      <c r="H47" s="174"/>
      <c r="I47" s="43"/>
      <c r="J47" s="43"/>
      <c r="K47" s="43"/>
      <c r="L47" s="43"/>
      <c r="M47" s="36"/>
      <c r="N47" s="37"/>
    </row>
    <row r="48" spans="1:14" s="17" customFormat="1" ht="23.1" customHeight="1" x14ac:dyDescent="0.3">
      <c r="A48" s="191" t="s">
        <v>68</v>
      </c>
      <c r="B48" s="192"/>
      <c r="C48" s="192"/>
      <c r="D48" s="193"/>
      <c r="F48" s="183" t="s">
        <v>55</v>
      </c>
      <c r="G48" s="184"/>
      <c r="H48" s="185"/>
      <c r="I48" s="44"/>
      <c r="J48" s="44"/>
      <c r="K48" s="44"/>
      <c r="L48" s="44"/>
      <c r="M48" s="19"/>
      <c r="N48" s="20"/>
    </row>
    <row r="49" spans="1:14" s="41" customFormat="1" ht="12.75" customHeight="1" x14ac:dyDescent="0.25">
      <c r="A49" s="21" t="s">
        <v>21</v>
      </c>
      <c r="B49" s="22" t="s">
        <v>22</v>
      </c>
      <c r="C49" s="22" t="s">
        <v>23</v>
      </c>
      <c r="D49" s="23" t="s">
        <v>25</v>
      </c>
      <c r="F49" s="186"/>
      <c r="G49" s="187"/>
      <c r="H49" s="188"/>
      <c r="I49" s="98"/>
      <c r="J49" s="98"/>
      <c r="K49" s="98"/>
      <c r="L49" s="98"/>
      <c r="M49" s="30"/>
      <c r="N49" s="42"/>
    </row>
    <row r="50" spans="1:14" x14ac:dyDescent="0.3">
      <c r="A50" s="100"/>
      <c r="B50" s="101"/>
      <c r="C50" s="101"/>
      <c r="D50" s="112"/>
      <c r="F50" s="103"/>
      <c r="G50" s="104"/>
      <c r="H50" s="109"/>
      <c r="I50" s="98"/>
      <c r="J50" s="98"/>
      <c r="K50" s="98"/>
      <c r="L50" s="98"/>
      <c r="M50" s="30"/>
      <c r="N50" s="16"/>
    </row>
    <row r="51" spans="1:14" x14ac:dyDescent="0.3">
      <c r="A51" s="106"/>
      <c r="B51" s="107"/>
      <c r="C51" s="107"/>
      <c r="D51" s="113"/>
      <c r="F51" s="103"/>
      <c r="G51" s="104"/>
      <c r="H51" s="109"/>
      <c r="I51" s="98"/>
      <c r="J51" s="98"/>
      <c r="K51" s="98"/>
      <c r="L51" s="98"/>
      <c r="M51" s="30"/>
      <c r="N51" s="16"/>
    </row>
    <row r="52" spans="1:14" x14ac:dyDescent="0.3">
      <c r="A52" s="106"/>
      <c r="B52" s="107"/>
      <c r="C52" s="107"/>
      <c r="D52" s="114"/>
      <c r="F52" s="103"/>
      <c r="H52" s="109"/>
      <c r="I52" s="98"/>
      <c r="J52" s="98"/>
      <c r="K52" s="98"/>
      <c r="L52" s="98"/>
      <c r="M52" s="30"/>
      <c r="N52" s="16"/>
    </row>
    <row r="53" spans="1:14" x14ac:dyDescent="0.3">
      <c r="A53" s="106"/>
      <c r="B53" s="107"/>
      <c r="C53" s="107"/>
      <c r="D53" s="113"/>
      <c r="F53" s="103"/>
      <c r="G53" s="104"/>
      <c r="H53" s="109"/>
      <c r="I53" s="98"/>
      <c r="J53" s="98"/>
      <c r="K53" s="98"/>
      <c r="L53" s="98"/>
      <c r="M53" s="30"/>
      <c r="N53" s="16"/>
    </row>
    <row r="54" spans="1:14" x14ac:dyDescent="0.3">
      <c r="A54" s="106"/>
      <c r="B54" s="107"/>
      <c r="C54" s="107"/>
      <c r="D54" s="114"/>
      <c r="F54" s="103"/>
      <c r="G54" s="104"/>
      <c r="H54" s="109"/>
      <c r="I54" s="98"/>
      <c r="J54" s="98"/>
      <c r="K54" s="98"/>
      <c r="L54" s="98"/>
      <c r="M54" s="30"/>
      <c r="N54" s="16"/>
    </row>
    <row r="55" spans="1:14" x14ac:dyDescent="0.3">
      <c r="A55" s="106"/>
      <c r="B55" s="107"/>
      <c r="C55" s="107"/>
      <c r="D55" s="113"/>
      <c r="F55" s="103"/>
      <c r="G55" s="104"/>
      <c r="H55" s="109"/>
      <c r="I55" s="98"/>
      <c r="J55" s="98"/>
      <c r="K55" s="98"/>
      <c r="L55" s="98"/>
      <c r="M55" s="30"/>
      <c r="N55" s="16"/>
    </row>
    <row r="56" spans="1:14" x14ac:dyDescent="0.3">
      <c r="A56" s="106"/>
      <c r="B56" s="107"/>
      <c r="C56" s="107"/>
      <c r="D56" s="114"/>
      <c r="F56" s="103"/>
      <c r="G56" s="104"/>
      <c r="H56" s="109"/>
      <c r="I56" s="98"/>
      <c r="J56" s="98"/>
      <c r="K56" s="98"/>
      <c r="L56" s="98"/>
      <c r="M56" s="30"/>
      <c r="N56" s="16"/>
    </row>
    <row r="57" spans="1:14" x14ac:dyDescent="0.3">
      <c r="A57" s="106"/>
      <c r="B57" s="107"/>
      <c r="C57" s="107"/>
      <c r="D57" s="113"/>
      <c r="F57" s="103"/>
      <c r="G57" s="104"/>
      <c r="H57" s="109"/>
      <c r="I57" s="98"/>
      <c r="J57" s="98"/>
      <c r="K57" s="98"/>
      <c r="L57" s="98"/>
      <c r="M57" s="30"/>
      <c r="N57" s="16"/>
    </row>
    <row r="58" spans="1:14" x14ac:dyDescent="0.3">
      <c r="A58" s="106"/>
      <c r="B58" s="107"/>
      <c r="C58" s="107"/>
      <c r="D58" s="114"/>
      <c r="F58" s="103"/>
      <c r="G58" s="104"/>
      <c r="H58" s="109"/>
      <c r="I58" s="98"/>
      <c r="J58" s="98"/>
      <c r="K58" s="98"/>
      <c r="L58" s="98"/>
      <c r="M58" s="30"/>
      <c r="N58" s="16"/>
    </row>
    <row r="59" spans="1:14" x14ac:dyDescent="0.3">
      <c r="A59" s="106"/>
      <c r="B59" s="107"/>
      <c r="C59" s="107"/>
      <c r="D59" s="113"/>
      <c r="F59" s="103"/>
      <c r="G59" s="104"/>
      <c r="H59" s="109"/>
      <c r="I59" s="98"/>
      <c r="J59" s="190"/>
      <c r="K59" s="190"/>
      <c r="L59" s="98"/>
      <c r="M59" s="30"/>
      <c r="N59" s="16"/>
    </row>
    <row r="60" spans="1:14" x14ac:dyDescent="0.3">
      <c r="A60" s="106"/>
      <c r="B60" s="107"/>
      <c r="C60" s="107"/>
      <c r="D60" s="114"/>
      <c r="F60" s="103"/>
      <c r="G60" s="104"/>
      <c r="H60" s="109"/>
      <c r="I60" s="189"/>
      <c r="J60" s="189"/>
      <c r="K60" s="189"/>
      <c r="L60" s="189"/>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78" t="s">
        <v>56</v>
      </c>
      <c r="B65" s="179"/>
      <c r="C65" s="179"/>
      <c r="D65" s="96">
        <f>SUM(Pest_18[Amount])</f>
        <v>0</v>
      </c>
      <c r="F65" s="173" t="s">
        <v>33</v>
      </c>
      <c r="G65" s="174"/>
      <c r="H65" s="174"/>
    </row>
    <row r="66" spans="1:8" x14ac:dyDescent="0.3">
      <c r="F66" s="173"/>
      <c r="G66" s="174"/>
      <c r="H66" s="174"/>
    </row>
    <row r="67" spans="1:8" ht="17.399999999999999" x14ac:dyDescent="0.3">
      <c r="A67" s="198" t="s">
        <v>69</v>
      </c>
      <c r="B67" s="198"/>
      <c r="C67" s="198"/>
      <c r="D67" s="198"/>
      <c r="E67" s="17"/>
      <c r="F67" s="183" t="s">
        <v>57</v>
      </c>
      <c r="G67" s="184"/>
      <c r="H67" s="185"/>
    </row>
    <row r="68" spans="1:8" x14ac:dyDescent="0.3">
      <c r="A68" s="21" t="s">
        <v>21</v>
      </c>
      <c r="B68" s="22" t="s">
        <v>22</v>
      </c>
      <c r="C68" s="22" t="s">
        <v>23</v>
      </c>
      <c r="D68" s="23" t="s">
        <v>25</v>
      </c>
      <c r="E68" s="24"/>
      <c r="F68" s="186"/>
      <c r="G68" s="187"/>
      <c r="H68" s="188"/>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78" t="s">
        <v>58</v>
      </c>
      <c r="B84" s="179"/>
      <c r="C84" s="179"/>
      <c r="D84" s="96">
        <f>SUM(Garbage_18[Amount])</f>
        <v>0</v>
      </c>
      <c r="E84" s="34"/>
      <c r="F84" s="173" t="s">
        <v>33</v>
      </c>
      <c r="G84" s="174"/>
      <c r="H84" s="174"/>
    </row>
    <row r="85" spans="1:8" x14ac:dyDescent="0.3">
      <c r="A85" s="38"/>
      <c r="B85" s="38"/>
      <c r="C85" s="38"/>
      <c r="D85" s="39"/>
      <c r="E85" s="40"/>
      <c r="F85" s="173"/>
      <c r="G85" s="174"/>
      <c r="H85" s="174"/>
    </row>
    <row r="86" spans="1:8" ht="17.399999999999999" x14ac:dyDescent="0.3">
      <c r="A86" s="191" t="s">
        <v>59</v>
      </c>
      <c r="B86" s="192"/>
      <c r="C86" s="192"/>
      <c r="D86" s="193"/>
      <c r="E86" s="17"/>
      <c r="F86" s="183" t="s">
        <v>60</v>
      </c>
      <c r="G86" s="184"/>
      <c r="H86" s="185"/>
    </row>
    <row r="87" spans="1:8" x14ac:dyDescent="0.3">
      <c r="A87" s="21" t="s">
        <v>21</v>
      </c>
      <c r="B87" s="22" t="s">
        <v>22</v>
      </c>
      <c r="C87" s="22" t="s">
        <v>23</v>
      </c>
      <c r="D87" s="23" t="s">
        <v>25</v>
      </c>
      <c r="E87" s="41"/>
      <c r="F87" s="186"/>
      <c r="G87" s="187"/>
      <c r="H87" s="188"/>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78" t="s">
        <v>61</v>
      </c>
      <c r="B103" s="179"/>
      <c r="C103" s="179"/>
      <c r="D103" s="96">
        <f>SUM(Boarding_18[Amount])</f>
        <v>0</v>
      </c>
      <c r="E103" s="34"/>
      <c r="F103" s="173" t="s">
        <v>33</v>
      </c>
      <c r="G103" s="174"/>
      <c r="H103" s="174"/>
    </row>
    <row r="104" spans="1:8" x14ac:dyDescent="0.3">
      <c r="A104" s="38"/>
      <c r="B104" s="38"/>
      <c r="C104" s="38"/>
      <c r="D104" s="39"/>
      <c r="E104" s="40"/>
      <c r="F104" s="173"/>
      <c r="G104" s="174"/>
      <c r="H104" s="174"/>
    </row>
    <row r="105" spans="1:8" ht="17.399999999999999" x14ac:dyDescent="0.3">
      <c r="A105" s="191" t="s">
        <v>70</v>
      </c>
      <c r="B105" s="192"/>
      <c r="C105" s="192"/>
      <c r="D105" s="193"/>
      <c r="E105" s="17"/>
      <c r="F105" s="183" t="s">
        <v>62</v>
      </c>
      <c r="G105" s="184"/>
      <c r="H105" s="185"/>
    </row>
    <row r="106" spans="1:8" x14ac:dyDescent="0.3">
      <c r="A106" s="21" t="s">
        <v>21</v>
      </c>
      <c r="B106" s="22" t="s">
        <v>22</v>
      </c>
      <c r="C106" s="22" t="s">
        <v>23</v>
      </c>
      <c r="D106" s="23" t="s">
        <v>25</v>
      </c>
      <c r="E106" s="41"/>
      <c r="F106" s="186"/>
      <c r="G106" s="187"/>
      <c r="H106" s="188"/>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78" t="s">
        <v>63</v>
      </c>
      <c r="B122" s="179"/>
      <c r="C122" s="179"/>
      <c r="D122" s="96">
        <f>SUM(Fence_18[Amount])</f>
        <v>0</v>
      </c>
      <c r="E122" s="34"/>
      <c r="F122" s="173" t="s">
        <v>33</v>
      </c>
      <c r="G122" s="174"/>
      <c r="H122" s="174"/>
    </row>
    <row r="123" spans="1:8" x14ac:dyDescent="0.3">
      <c r="F123" s="173"/>
      <c r="G123" s="174"/>
      <c r="H123" s="174"/>
    </row>
    <row r="124" spans="1:8" ht="17.399999999999999" x14ac:dyDescent="0.3">
      <c r="A124" s="191" t="s">
        <v>26</v>
      </c>
      <c r="B124" s="192"/>
      <c r="C124" s="192"/>
      <c r="D124" s="193"/>
      <c r="E124" s="17"/>
      <c r="F124" s="183" t="s">
        <v>11</v>
      </c>
      <c r="G124" s="184"/>
      <c r="H124" s="185"/>
    </row>
    <row r="125" spans="1:8" x14ac:dyDescent="0.3">
      <c r="A125" s="21" t="s">
        <v>21</v>
      </c>
      <c r="B125" s="22" t="s">
        <v>22</v>
      </c>
      <c r="C125" s="22" t="s">
        <v>23</v>
      </c>
      <c r="D125" s="23" t="s">
        <v>25</v>
      </c>
      <c r="E125" s="41"/>
      <c r="F125" s="186"/>
      <c r="G125" s="187"/>
      <c r="H125" s="188"/>
    </row>
    <row r="126" spans="1:8" x14ac:dyDescent="0.3">
      <c r="A126" s="100"/>
      <c r="B126" s="101"/>
      <c r="C126" s="101"/>
      <c r="D126" s="112">
        <v>23510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78" t="s">
        <v>27</v>
      </c>
      <c r="B141" s="179"/>
      <c r="C141" s="179"/>
      <c r="D141" s="96">
        <f>SUM(Demolition_18[Amount])</f>
        <v>23510</v>
      </c>
      <c r="E141" s="34"/>
      <c r="F141" s="173" t="s">
        <v>33</v>
      </c>
      <c r="G141" s="174"/>
      <c r="H141" s="174"/>
    </row>
    <row r="142" spans="1:8" x14ac:dyDescent="0.3">
      <c r="A142" s="38"/>
      <c r="B142" s="38"/>
      <c r="C142" s="38"/>
      <c r="D142" s="39"/>
      <c r="E142" s="40"/>
      <c r="F142" s="173"/>
      <c r="G142" s="174"/>
      <c r="H142" s="174"/>
    </row>
    <row r="143" spans="1:8" ht="17.399999999999999" x14ac:dyDescent="0.3">
      <c r="A143" s="191" t="s">
        <v>64</v>
      </c>
      <c r="B143" s="192"/>
      <c r="C143" s="192"/>
      <c r="D143" s="193"/>
      <c r="E143" s="17"/>
      <c r="F143" s="183" t="s">
        <v>44</v>
      </c>
      <c r="G143" s="184"/>
      <c r="H143" s="185"/>
    </row>
    <row r="144" spans="1:8" x14ac:dyDescent="0.3">
      <c r="A144" s="21" t="s">
        <v>21</v>
      </c>
      <c r="B144" s="22" t="s">
        <v>22</v>
      </c>
      <c r="C144" s="22" t="s">
        <v>23</v>
      </c>
      <c r="D144" s="23" t="s">
        <v>25</v>
      </c>
      <c r="E144" s="41"/>
      <c r="F144" s="186"/>
      <c r="G144" s="187"/>
      <c r="H144" s="188"/>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78" t="s">
        <v>65</v>
      </c>
      <c r="B160" s="179"/>
      <c r="C160" s="179"/>
      <c r="D160" s="96">
        <f>SUM(Rehab_18[Amount])</f>
        <v>0</v>
      </c>
      <c r="E160" s="34"/>
      <c r="F160" s="173" t="s">
        <v>33</v>
      </c>
      <c r="G160" s="174"/>
      <c r="H160" s="174"/>
    </row>
    <row r="161" spans="6:8" x14ac:dyDescent="0.3">
      <c r="F161" s="173"/>
      <c r="G161" s="174"/>
      <c r="H161" s="174"/>
    </row>
  </sheetData>
  <sheetProtection algorithmName="SHA-512" hashValue="+FOJMnQ4v0pcO2crpGH4F9WrEGwkj5ZH5/TbVYN4BF5CgTryM4/6k+3Yg7dbURs/6ehL5GLOmdejjG2kABYyPQ==" saltValue="V9ZlPoHg195ArPBqfPzVuw=="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N161"/>
  <sheetViews>
    <sheetView showGridLines="0" zoomScaleNormal="100" workbookViewId="0">
      <pane ySplit="9" topLeftCell="A93" activePane="bottomLeft" state="frozen"/>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5" t="s">
        <v>24</v>
      </c>
      <c r="B1" s="175"/>
      <c r="C1" s="175"/>
      <c r="D1" s="175"/>
      <c r="E1" s="1"/>
      <c r="F1" s="2"/>
      <c r="G1" s="2"/>
      <c r="H1" s="1"/>
    </row>
    <row r="2" spans="1:14" ht="24.9" customHeight="1" x14ac:dyDescent="0.3">
      <c r="A2" s="176" t="s">
        <v>71</v>
      </c>
      <c r="B2" s="176"/>
      <c r="C2" s="176"/>
      <c r="D2" s="176"/>
      <c r="E2" s="4"/>
      <c r="F2" s="90"/>
      <c r="G2" s="90"/>
      <c r="H2" s="5"/>
    </row>
    <row r="3" spans="1:14" ht="31.5" customHeight="1" x14ac:dyDescent="0.3">
      <c r="A3" s="176"/>
      <c r="B3" s="176"/>
      <c r="C3" s="176"/>
      <c r="D3" s="176"/>
      <c r="E3" s="4"/>
      <c r="F3" s="90"/>
      <c r="G3" s="90"/>
      <c r="H3" s="5"/>
    </row>
    <row r="4" spans="1:14" ht="15" customHeight="1" x14ac:dyDescent="0.25">
      <c r="A4" s="75" t="s">
        <v>19</v>
      </c>
      <c r="B4" s="194" t="str">
        <f>IF('Summary Sheet'!B33="","",'Summary Sheet'!B33)</f>
        <v>1254 W 61ST ST</v>
      </c>
      <c r="C4" s="194"/>
      <c r="D4" s="90"/>
      <c r="E4" s="4"/>
      <c r="F4" s="90"/>
      <c r="G4" s="90"/>
      <c r="H4" s="5"/>
    </row>
    <row r="5" spans="1:14" ht="15" customHeight="1" x14ac:dyDescent="0.25">
      <c r="A5" s="75" t="s">
        <v>20</v>
      </c>
      <c r="B5" s="195" t="str">
        <f>IF('Summary Sheet'!C33="","",'Summary Sheet'!C33)</f>
        <v/>
      </c>
      <c r="C5" s="195"/>
      <c r="D5" s="90"/>
      <c r="E5" s="4"/>
      <c r="F5" s="90"/>
      <c r="G5" s="90"/>
      <c r="H5" s="5"/>
    </row>
    <row r="6" spans="1:14" ht="15" customHeight="1" x14ac:dyDescent="0.25">
      <c r="A6" s="75" t="s">
        <v>36</v>
      </c>
      <c r="B6" s="177"/>
      <c r="C6" s="177"/>
      <c r="D6" s="6"/>
      <c r="E6" s="7"/>
    </row>
    <row r="7" spans="1:14" ht="15" customHeight="1" x14ac:dyDescent="0.25">
      <c r="A7" s="7"/>
      <c r="B7" s="196" t="s">
        <v>34</v>
      </c>
      <c r="C7" s="196"/>
      <c r="D7" s="10"/>
    </row>
    <row r="8" spans="1:14" ht="20.100000000000001" customHeight="1" x14ac:dyDescent="0.25">
      <c r="B8" s="11"/>
      <c r="C8" s="11"/>
      <c r="D8" s="12" t="s">
        <v>31</v>
      </c>
      <c r="F8" s="180" t="s">
        <v>32</v>
      </c>
      <c r="G8" s="181"/>
      <c r="H8" s="182"/>
    </row>
    <row r="9" spans="1:14" s="14" customFormat="1" ht="20.100000000000001" customHeight="1" x14ac:dyDescent="0.25">
      <c r="A9" s="197"/>
      <c r="B9" s="197"/>
      <c r="C9" s="197"/>
      <c r="D9" s="13">
        <f>SUM(D27,D46,D65,D84,D103,D122,D141,D160)</f>
        <v>19810</v>
      </c>
      <c r="F9" s="15" t="s">
        <v>28</v>
      </c>
      <c r="G9" s="15" t="s">
        <v>29</v>
      </c>
      <c r="H9" s="15" t="s">
        <v>30</v>
      </c>
      <c r="I9" s="16"/>
      <c r="J9" s="16"/>
      <c r="K9" s="16"/>
      <c r="L9" s="16"/>
      <c r="M9" s="16"/>
      <c r="N9" s="16"/>
    </row>
    <row r="10" spans="1:14" s="17" customFormat="1" ht="23.1" customHeight="1" x14ac:dyDescent="0.3">
      <c r="A10" s="198" t="s">
        <v>51</v>
      </c>
      <c r="B10" s="198"/>
      <c r="C10" s="198"/>
      <c r="D10" s="198"/>
      <c r="F10" s="183" t="s">
        <v>66</v>
      </c>
      <c r="G10" s="184"/>
      <c r="H10" s="185"/>
      <c r="I10" s="18"/>
      <c r="J10" s="18"/>
      <c r="K10" s="18"/>
      <c r="L10" s="18"/>
      <c r="M10" s="19"/>
      <c r="N10" s="20"/>
    </row>
    <row r="11" spans="1:14" s="24" customFormat="1" ht="12.75" customHeight="1" x14ac:dyDescent="0.25">
      <c r="A11" s="21" t="s">
        <v>21</v>
      </c>
      <c r="B11" s="22" t="s">
        <v>22</v>
      </c>
      <c r="C11" s="22" t="s">
        <v>23</v>
      </c>
      <c r="D11" s="23" t="s">
        <v>25</v>
      </c>
      <c r="F11" s="186"/>
      <c r="G11" s="187"/>
      <c r="H11" s="188"/>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78" t="s">
        <v>53</v>
      </c>
      <c r="B27" s="179"/>
      <c r="C27" s="179"/>
      <c r="D27" s="96">
        <f>SUM(Grass_1[Amount])</f>
        <v>0</v>
      </c>
      <c r="F27" s="173" t="s">
        <v>33</v>
      </c>
      <c r="G27" s="174"/>
      <c r="H27" s="174"/>
      <c r="I27" s="35"/>
      <c r="J27" s="35"/>
      <c r="K27" s="35"/>
      <c r="L27" s="35"/>
      <c r="M27" s="36"/>
      <c r="N27" s="37"/>
    </row>
    <row r="28" spans="1:14" s="40" customFormat="1" ht="11.1" customHeight="1" x14ac:dyDescent="0.3">
      <c r="A28" s="38"/>
      <c r="B28" s="38"/>
      <c r="C28" s="38"/>
      <c r="D28" s="39"/>
      <c r="F28" s="173"/>
      <c r="G28" s="174"/>
      <c r="H28" s="174"/>
      <c r="I28" s="35"/>
      <c r="J28" s="35"/>
      <c r="K28" s="35"/>
      <c r="L28" s="35"/>
      <c r="M28" s="36"/>
      <c r="N28" s="37"/>
    </row>
    <row r="29" spans="1:14" s="17" customFormat="1" ht="23.1" customHeight="1" x14ac:dyDescent="0.3">
      <c r="A29" s="191" t="s">
        <v>67</v>
      </c>
      <c r="B29" s="192"/>
      <c r="C29" s="192"/>
      <c r="D29" s="193"/>
      <c r="F29" s="183" t="s">
        <v>52</v>
      </c>
      <c r="G29" s="184"/>
      <c r="H29" s="185"/>
      <c r="I29" s="18"/>
      <c r="J29" s="18"/>
      <c r="K29" s="18"/>
      <c r="L29" s="18"/>
      <c r="M29" s="19"/>
      <c r="N29" s="20"/>
    </row>
    <row r="30" spans="1:14" s="41" customFormat="1" ht="12.75" customHeight="1" x14ac:dyDescent="0.25">
      <c r="A30" s="21" t="s">
        <v>21</v>
      </c>
      <c r="B30" s="22" t="s">
        <v>22</v>
      </c>
      <c r="C30" s="22" t="s">
        <v>23</v>
      </c>
      <c r="D30" s="23" t="s">
        <v>25</v>
      </c>
      <c r="F30" s="186"/>
      <c r="G30" s="187"/>
      <c r="H30" s="188"/>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89"/>
      <c r="J44" s="29"/>
      <c r="K44" s="29"/>
      <c r="L44" s="89"/>
      <c r="M44" s="30"/>
      <c r="N44" s="16"/>
    </row>
    <row r="45" spans="1:14" x14ac:dyDescent="0.3">
      <c r="A45" s="106"/>
      <c r="B45" s="107"/>
      <c r="C45" s="107"/>
      <c r="D45" s="114"/>
      <c r="F45" s="103"/>
      <c r="G45" s="104"/>
      <c r="H45" s="109"/>
      <c r="I45" s="89"/>
      <c r="J45" s="29"/>
      <c r="K45" s="29"/>
      <c r="L45" s="89"/>
      <c r="M45" s="30"/>
      <c r="N45" s="16"/>
    </row>
    <row r="46" spans="1:14" s="34" customFormat="1" x14ac:dyDescent="0.3">
      <c r="A46" s="178" t="s">
        <v>54</v>
      </c>
      <c r="B46" s="179"/>
      <c r="C46" s="179"/>
      <c r="D46" s="96">
        <f>SUM(Tree_1[Amount])</f>
        <v>0</v>
      </c>
      <c r="F46" s="173" t="s">
        <v>33</v>
      </c>
      <c r="G46" s="174"/>
      <c r="H46" s="174"/>
      <c r="I46" s="43"/>
      <c r="J46" s="43"/>
      <c r="K46" s="43"/>
      <c r="L46" s="43"/>
      <c r="M46" s="36"/>
      <c r="N46" s="37"/>
    </row>
    <row r="47" spans="1:14" s="40" customFormat="1" ht="11.1" customHeight="1" x14ac:dyDescent="0.3">
      <c r="A47" s="38"/>
      <c r="B47" s="38"/>
      <c r="C47" s="38"/>
      <c r="D47" s="39"/>
      <c r="F47" s="173"/>
      <c r="G47" s="174"/>
      <c r="H47" s="174"/>
      <c r="I47" s="43"/>
      <c r="J47" s="43"/>
      <c r="K47" s="43"/>
      <c r="L47" s="43"/>
      <c r="M47" s="36"/>
      <c r="N47" s="37"/>
    </row>
    <row r="48" spans="1:14" s="17" customFormat="1" ht="23.1" customHeight="1" x14ac:dyDescent="0.3">
      <c r="A48" s="191" t="s">
        <v>68</v>
      </c>
      <c r="B48" s="192"/>
      <c r="C48" s="192"/>
      <c r="D48" s="193"/>
      <c r="F48" s="183" t="s">
        <v>55</v>
      </c>
      <c r="G48" s="184"/>
      <c r="H48" s="185"/>
      <c r="I48" s="44"/>
      <c r="J48" s="44"/>
      <c r="K48" s="44"/>
      <c r="L48" s="44"/>
      <c r="M48" s="19"/>
      <c r="N48" s="20"/>
    </row>
    <row r="49" spans="1:14" s="41" customFormat="1" ht="12.75" customHeight="1" x14ac:dyDescent="0.25">
      <c r="A49" s="21" t="s">
        <v>21</v>
      </c>
      <c r="B49" s="22" t="s">
        <v>22</v>
      </c>
      <c r="C49" s="22" t="s">
        <v>23</v>
      </c>
      <c r="D49" s="23" t="s">
        <v>25</v>
      </c>
      <c r="F49" s="186"/>
      <c r="G49" s="187"/>
      <c r="H49" s="188"/>
      <c r="I49" s="89"/>
      <c r="J49" s="89"/>
      <c r="K49" s="89"/>
      <c r="L49" s="89"/>
      <c r="M49" s="30"/>
      <c r="N49" s="42"/>
    </row>
    <row r="50" spans="1:14" x14ac:dyDescent="0.3">
      <c r="A50" s="100"/>
      <c r="B50" s="101"/>
      <c r="C50" s="101"/>
      <c r="D50" s="112"/>
      <c r="F50" s="103"/>
      <c r="G50" s="104"/>
      <c r="H50" s="109"/>
      <c r="I50" s="89"/>
      <c r="J50" s="89"/>
      <c r="K50" s="89"/>
      <c r="L50" s="89"/>
      <c r="M50" s="30"/>
      <c r="N50" s="16"/>
    </row>
    <row r="51" spans="1:14" x14ac:dyDescent="0.3">
      <c r="A51" s="106"/>
      <c r="B51" s="107"/>
      <c r="C51" s="107"/>
      <c r="D51" s="113"/>
      <c r="F51" s="103"/>
      <c r="G51" s="104"/>
      <c r="H51" s="109"/>
      <c r="I51" s="89"/>
      <c r="J51" s="89"/>
      <c r="K51" s="89"/>
      <c r="L51" s="89"/>
      <c r="M51" s="30"/>
      <c r="N51" s="16"/>
    </row>
    <row r="52" spans="1:14" x14ac:dyDescent="0.3">
      <c r="A52" s="106"/>
      <c r="B52" s="107"/>
      <c r="C52" s="107"/>
      <c r="D52" s="114"/>
      <c r="F52" s="103"/>
      <c r="H52" s="109"/>
      <c r="I52" s="89"/>
      <c r="J52" s="89"/>
      <c r="K52" s="89"/>
      <c r="L52" s="89"/>
      <c r="M52" s="30"/>
      <c r="N52" s="16"/>
    </row>
    <row r="53" spans="1:14" x14ac:dyDescent="0.3">
      <c r="A53" s="106"/>
      <c r="B53" s="107"/>
      <c r="C53" s="107"/>
      <c r="D53" s="113"/>
      <c r="F53" s="103"/>
      <c r="G53" s="104"/>
      <c r="H53" s="109"/>
      <c r="I53" s="89"/>
      <c r="J53" s="89"/>
      <c r="K53" s="89"/>
      <c r="L53" s="89"/>
      <c r="M53" s="30"/>
      <c r="N53" s="16"/>
    </row>
    <row r="54" spans="1:14" x14ac:dyDescent="0.3">
      <c r="A54" s="106"/>
      <c r="B54" s="107"/>
      <c r="C54" s="107"/>
      <c r="D54" s="114"/>
      <c r="F54" s="103"/>
      <c r="G54" s="104"/>
      <c r="H54" s="109"/>
      <c r="I54" s="89"/>
      <c r="J54" s="89"/>
      <c r="K54" s="89"/>
      <c r="L54" s="89"/>
      <c r="M54" s="30"/>
      <c r="N54" s="16"/>
    </row>
    <row r="55" spans="1:14" x14ac:dyDescent="0.3">
      <c r="A55" s="106"/>
      <c r="B55" s="107"/>
      <c r="C55" s="107"/>
      <c r="D55" s="113"/>
      <c r="F55" s="103"/>
      <c r="G55" s="104"/>
      <c r="H55" s="109"/>
      <c r="I55" s="89"/>
      <c r="J55" s="89"/>
      <c r="K55" s="89"/>
      <c r="L55" s="89"/>
      <c r="M55" s="30"/>
      <c r="N55" s="16"/>
    </row>
    <row r="56" spans="1:14" x14ac:dyDescent="0.3">
      <c r="A56" s="106"/>
      <c r="B56" s="107"/>
      <c r="C56" s="107"/>
      <c r="D56" s="114"/>
      <c r="F56" s="103"/>
      <c r="G56" s="104"/>
      <c r="H56" s="109"/>
      <c r="I56" s="89"/>
      <c r="J56" s="89"/>
      <c r="K56" s="89"/>
      <c r="L56" s="89"/>
      <c r="M56" s="30"/>
      <c r="N56" s="16"/>
    </row>
    <row r="57" spans="1:14" x14ac:dyDescent="0.3">
      <c r="A57" s="106"/>
      <c r="B57" s="107"/>
      <c r="C57" s="107"/>
      <c r="D57" s="113"/>
      <c r="F57" s="103"/>
      <c r="G57" s="104"/>
      <c r="H57" s="109"/>
      <c r="I57" s="89"/>
      <c r="J57" s="89"/>
      <c r="K57" s="89"/>
      <c r="L57" s="89"/>
      <c r="M57" s="30"/>
      <c r="N57" s="16"/>
    </row>
    <row r="58" spans="1:14" x14ac:dyDescent="0.3">
      <c r="A58" s="106"/>
      <c r="B58" s="107"/>
      <c r="C58" s="107"/>
      <c r="D58" s="114"/>
      <c r="F58" s="103"/>
      <c r="G58" s="104"/>
      <c r="H58" s="109"/>
      <c r="I58" s="89"/>
      <c r="J58" s="89"/>
      <c r="K58" s="89"/>
      <c r="L58" s="89"/>
      <c r="M58" s="30"/>
      <c r="N58" s="16"/>
    </row>
    <row r="59" spans="1:14" x14ac:dyDescent="0.3">
      <c r="A59" s="106"/>
      <c r="B59" s="107"/>
      <c r="C59" s="107"/>
      <c r="D59" s="113"/>
      <c r="F59" s="103"/>
      <c r="G59" s="104"/>
      <c r="H59" s="109"/>
      <c r="I59" s="89"/>
      <c r="J59" s="190"/>
      <c r="K59" s="190"/>
      <c r="L59" s="89"/>
      <c r="M59" s="30"/>
      <c r="N59" s="16"/>
    </row>
    <row r="60" spans="1:14" x14ac:dyDescent="0.3">
      <c r="A60" s="106"/>
      <c r="B60" s="107"/>
      <c r="C60" s="107"/>
      <c r="D60" s="114"/>
      <c r="F60" s="103"/>
      <c r="G60" s="104"/>
      <c r="H60" s="109"/>
      <c r="I60" s="189"/>
      <c r="J60" s="189"/>
      <c r="K60" s="189"/>
      <c r="L60" s="189"/>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78" t="s">
        <v>56</v>
      </c>
      <c r="B65" s="179"/>
      <c r="C65" s="179"/>
      <c r="D65" s="96">
        <f>SUM(Pest_1[Amount])</f>
        <v>0</v>
      </c>
      <c r="F65" s="173" t="s">
        <v>33</v>
      </c>
      <c r="G65" s="174"/>
      <c r="H65" s="174"/>
    </row>
    <row r="66" spans="1:8" x14ac:dyDescent="0.3">
      <c r="F66" s="173"/>
      <c r="G66" s="174"/>
      <c r="H66" s="174"/>
    </row>
    <row r="67" spans="1:8" ht="17.399999999999999" x14ac:dyDescent="0.3">
      <c r="A67" s="198" t="s">
        <v>69</v>
      </c>
      <c r="B67" s="198"/>
      <c r="C67" s="198"/>
      <c r="D67" s="198"/>
      <c r="E67" s="17"/>
      <c r="F67" s="183" t="s">
        <v>57</v>
      </c>
      <c r="G67" s="184"/>
      <c r="H67" s="185"/>
    </row>
    <row r="68" spans="1:8" x14ac:dyDescent="0.3">
      <c r="A68" s="21" t="s">
        <v>21</v>
      </c>
      <c r="B68" s="22" t="s">
        <v>22</v>
      </c>
      <c r="C68" s="22" t="s">
        <v>23</v>
      </c>
      <c r="D68" s="23" t="s">
        <v>25</v>
      </c>
      <c r="E68" s="24"/>
      <c r="F68" s="186"/>
      <c r="G68" s="187"/>
      <c r="H68" s="188"/>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78" t="s">
        <v>58</v>
      </c>
      <c r="B84" s="179"/>
      <c r="C84" s="179"/>
      <c r="D84" s="96">
        <f>SUM(Garbage_1[Amount])</f>
        <v>0</v>
      </c>
      <c r="E84" s="34"/>
      <c r="F84" s="173" t="s">
        <v>33</v>
      </c>
      <c r="G84" s="174"/>
      <c r="H84" s="174"/>
    </row>
    <row r="85" spans="1:8" x14ac:dyDescent="0.3">
      <c r="A85" s="38"/>
      <c r="B85" s="38"/>
      <c r="C85" s="38"/>
      <c r="D85" s="39"/>
      <c r="E85" s="40"/>
      <c r="F85" s="173"/>
      <c r="G85" s="174"/>
      <c r="H85" s="174"/>
    </row>
    <row r="86" spans="1:8" ht="17.399999999999999" x14ac:dyDescent="0.3">
      <c r="A86" s="191" t="s">
        <v>59</v>
      </c>
      <c r="B86" s="192"/>
      <c r="C86" s="192"/>
      <c r="D86" s="193"/>
      <c r="E86" s="17"/>
      <c r="F86" s="183" t="s">
        <v>60</v>
      </c>
      <c r="G86" s="184"/>
      <c r="H86" s="185"/>
    </row>
    <row r="87" spans="1:8" x14ac:dyDescent="0.3">
      <c r="A87" s="21" t="s">
        <v>21</v>
      </c>
      <c r="B87" s="22" t="s">
        <v>22</v>
      </c>
      <c r="C87" s="22" t="s">
        <v>23</v>
      </c>
      <c r="D87" s="23" t="s">
        <v>25</v>
      </c>
      <c r="E87" s="41"/>
      <c r="F87" s="186"/>
      <c r="G87" s="187"/>
      <c r="H87" s="188"/>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78" t="s">
        <v>61</v>
      </c>
      <c r="B103" s="179"/>
      <c r="C103" s="179"/>
      <c r="D103" s="96">
        <f>SUM(Boarding_1[Amount])</f>
        <v>0</v>
      </c>
      <c r="E103" s="34"/>
      <c r="F103" s="173" t="s">
        <v>33</v>
      </c>
      <c r="G103" s="174"/>
      <c r="H103" s="174"/>
    </row>
    <row r="104" spans="1:8" x14ac:dyDescent="0.3">
      <c r="A104" s="38"/>
      <c r="B104" s="38"/>
      <c r="C104" s="38"/>
      <c r="D104" s="39"/>
      <c r="E104" s="40"/>
      <c r="F104" s="173"/>
      <c r="G104" s="174"/>
      <c r="H104" s="174"/>
    </row>
    <row r="105" spans="1:8" ht="17.399999999999999" x14ac:dyDescent="0.3">
      <c r="A105" s="191" t="s">
        <v>70</v>
      </c>
      <c r="B105" s="192"/>
      <c r="C105" s="192"/>
      <c r="D105" s="193"/>
      <c r="E105" s="17"/>
      <c r="F105" s="183" t="s">
        <v>62</v>
      </c>
      <c r="G105" s="184"/>
      <c r="H105" s="185"/>
    </row>
    <row r="106" spans="1:8" x14ac:dyDescent="0.3">
      <c r="A106" s="21" t="s">
        <v>21</v>
      </c>
      <c r="B106" s="22" t="s">
        <v>22</v>
      </c>
      <c r="C106" s="22" t="s">
        <v>23</v>
      </c>
      <c r="D106" s="23" t="s">
        <v>25</v>
      </c>
      <c r="E106" s="41"/>
      <c r="F106" s="186"/>
      <c r="G106" s="187"/>
      <c r="H106" s="188"/>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78" t="s">
        <v>63</v>
      </c>
      <c r="B122" s="179"/>
      <c r="C122" s="179"/>
      <c r="D122" s="96">
        <f>SUM(Fence_1[Amount])</f>
        <v>0</v>
      </c>
      <c r="E122" s="34"/>
      <c r="F122" s="173" t="s">
        <v>33</v>
      </c>
      <c r="G122" s="174"/>
      <c r="H122" s="174"/>
    </row>
    <row r="123" spans="1:8" x14ac:dyDescent="0.3">
      <c r="F123" s="173"/>
      <c r="G123" s="174"/>
      <c r="H123" s="174"/>
    </row>
    <row r="124" spans="1:8" ht="17.399999999999999" x14ac:dyDescent="0.3">
      <c r="A124" s="191" t="s">
        <v>26</v>
      </c>
      <c r="B124" s="192"/>
      <c r="C124" s="192"/>
      <c r="D124" s="193"/>
      <c r="E124" s="17"/>
      <c r="F124" s="183" t="s">
        <v>11</v>
      </c>
      <c r="G124" s="184"/>
      <c r="H124" s="185"/>
    </row>
    <row r="125" spans="1:8" x14ac:dyDescent="0.3">
      <c r="A125" s="21" t="s">
        <v>21</v>
      </c>
      <c r="B125" s="22" t="s">
        <v>22</v>
      </c>
      <c r="C125" s="22" t="s">
        <v>23</v>
      </c>
      <c r="D125" s="23" t="s">
        <v>25</v>
      </c>
      <c r="E125" s="41"/>
      <c r="F125" s="186"/>
      <c r="G125" s="187"/>
      <c r="H125" s="188"/>
    </row>
    <row r="126" spans="1:8" x14ac:dyDescent="0.3">
      <c r="A126" s="100"/>
      <c r="B126" s="101"/>
      <c r="C126" s="101"/>
      <c r="D126" s="112">
        <v>19810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78" t="s">
        <v>27</v>
      </c>
      <c r="B141" s="179"/>
      <c r="C141" s="179"/>
      <c r="D141" s="96">
        <f>SUM(Demolition_1[Amount])</f>
        <v>19810</v>
      </c>
      <c r="E141" s="34"/>
      <c r="F141" s="173" t="s">
        <v>33</v>
      </c>
      <c r="G141" s="174"/>
      <c r="H141" s="174"/>
    </row>
    <row r="142" spans="1:8" x14ac:dyDescent="0.3">
      <c r="A142" s="38"/>
      <c r="B142" s="38"/>
      <c r="C142" s="38"/>
      <c r="D142" s="39"/>
      <c r="E142" s="40"/>
      <c r="F142" s="173"/>
      <c r="G142" s="174"/>
      <c r="H142" s="174"/>
    </row>
    <row r="143" spans="1:8" ht="17.399999999999999" x14ac:dyDescent="0.3">
      <c r="A143" s="191" t="s">
        <v>64</v>
      </c>
      <c r="B143" s="192"/>
      <c r="C143" s="192"/>
      <c r="D143" s="193"/>
      <c r="E143" s="17"/>
      <c r="F143" s="183" t="s">
        <v>44</v>
      </c>
      <c r="G143" s="184"/>
      <c r="H143" s="185"/>
    </row>
    <row r="144" spans="1:8" x14ac:dyDescent="0.3">
      <c r="A144" s="21" t="s">
        <v>21</v>
      </c>
      <c r="B144" s="22" t="s">
        <v>22</v>
      </c>
      <c r="C144" s="22" t="s">
        <v>23</v>
      </c>
      <c r="D144" s="23" t="s">
        <v>25</v>
      </c>
      <c r="E144" s="41"/>
      <c r="F144" s="186"/>
      <c r="G144" s="187"/>
      <c r="H144" s="188"/>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78" t="s">
        <v>65</v>
      </c>
      <c r="B160" s="179"/>
      <c r="C160" s="179"/>
      <c r="D160" s="96">
        <f>SUM(Rehab_1[Amount])</f>
        <v>0</v>
      </c>
      <c r="E160" s="34"/>
      <c r="F160" s="173" t="s">
        <v>33</v>
      </c>
      <c r="G160" s="174"/>
      <c r="H160" s="174"/>
    </row>
    <row r="161" spans="6:8" x14ac:dyDescent="0.3">
      <c r="F161" s="173"/>
      <c r="G161" s="174"/>
      <c r="H161" s="174"/>
    </row>
  </sheetData>
  <sheetProtection algorithmName="SHA-512" hashValue="L5ONw+N1vYbg1Sz6YceQ769aN/Kh05h19pbLBO8AVYL7AISI9Up/A5RQHDFMgqXBB9GhY5rLwxVOlQnac7Kb5w==" saltValue="+1iAYZRigOzVRKFJ1ke9+w==" spinCount="100000" sheet="1" insertRows="0" deleteRows="0"/>
  <protectedRanges>
    <protectedRange sqref="G160 F145:H159 G141 F126:H140 G122 F107:H121 G103 F88:H102 G84 F69:H83 G65 F50:H64 G46 F31:H45 G27 F12:H26" name="Comments"/>
    <protectedRange sqref="A145:D159" name="Rehab"/>
    <protectedRange sqref="A126:D140" name="Demolition"/>
    <protectedRange sqref="A107:D121" name="Fence"/>
    <protectedRange sqref="A88:D102" name="Boarding"/>
    <protectedRange sqref="A69:D83" name="Garbage"/>
    <protectedRange sqref="A50:D64" name="Pest"/>
    <protectedRange sqref="A31:D45" name="Tree"/>
    <protectedRange sqref="B6" name="Units"/>
    <protectedRange sqref="A12:D26" name="Grass"/>
  </protectedRanges>
  <mergeCells count="50">
    <mergeCell ref="A143:D143"/>
    <mergeCell ref="F143:H144"/>
    <mergeCell ref="A160:C160"/>
    <mergeCell ref="F160:F161"/>
    <mergeCell ref="G160:H161"/>
    <mergeCell ref="A124:D124"/>
    <mergeCell ref="F124:H125"/>
    <mergeCell ref="A141:C141"/>
    <mergeCell ref="F141:F142"/>
    <mergeCell ref="G141:H142"/>
    <mergeCell ref="A105:D105"/>
    <mergeCell ref="F105:H106"/>
    <mergeCell ref="A122:C122"/>
    <mergeCell ref="F122:F123"/>
    <mergeCell ref="G122:H123"/>
    <mergeCell ref="A86:D86"/>
    <mergeCell ref="F86:H87"/>
    <mergeCell ref="A103:C103"/>
    <mergeCell ref="F103:F104"/>
    <mergeCell ref="G103:H104"/>
    <mergeCell ref="A67:D67"/>
    <mergeCell ref="F67:H68"/>
    <mergeCell ref="A84:C84"/>
    <mergeCell ref="F84:F85"/>
    <mergeCell ref="G84:H85"/>
    <mergeCell ref="A48:D48"/>
    <mergeCell ref="A65:C65"/>
    <mergeCell ref="B4:C4"/>
    <mergeCell ref="B5:C5"/>
    <mergeCell ref="B7:C7"/>
    <mergeCell ref="A9:C9"/>
    <mergeCell ref="A10:D10"/>
    <mergeCell ref="A27:C27"/>
    <mergeCell ref="A29:D29"/>
    <mergeCell ref="I60:L60"/>
    <mergeCell ref="F65:F66"/>
    <mergeCell ref="G65:H66"/>
    <mergeCell ref="J59:K59"/>
    <mergeCell ref="F48:H49"/>
    <mergeCell ref="F46:F47"/>
    <mergeCell ref="G46:H47"/>
    <mergeCell ref="A1:D1"/>
    <mergeCell ref="A2:D3"/>
    <mergeCell ref="B6:C6"/>
    <mergeCell ref="A46:C46"/>
    <mergeCell ref="F8:H8"/>
    <mergeCell ref="F29:H30"/>
    <mergeCell ref="F10:H11"/>
    <mergeCell ref="F27:F28"/>
    <mergeCell ref="G27:H28"/>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N161"/>
  <sheetViews>
    <sheetView showGridLines="0" zoomScaleNormal="100" workbookViewId="0">
      <pane ySplit="9" topLeftCell="A118" activePane="bottomLeft" state="frozen"/>
      <selection pane="bottomLeft" activeCell="C127" sqref="C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5" t="s">
        <v>24</v>
      </c>
      <c r="B1" s="175"/>
      <c r="C1" s="175"/>
      <c r="D1" s="175"/>
      <c r="E1" s="1"/>
      <c r="F1" s="2"/>
      <c r="G1" s="2"/>
      <c r="H1" s="1"/>
    </row>
    <row r="2" spans="1:14" ht="24.9" customHeight="1" x14ac:dyDescent="0.3">
      <c r="A2" s="176" t="s">
        <v>71</v>
      </c>
      <c r="B2" s="176"/>
      <c r="C2" s="176"/>
      <c r="D2" s="176"/>
      <c r="E2" s="4"/>
      <c r="F2" s="97"/>
      <c r="G2" s="97"/>
      <c r="H2" s="5"/>
    </row>
    <row r="3" spans="1:14" ht="31.5" customHeight="1" x14ac:dyDescent="0.3">
      <c r="A3" s="176"/>
      <c r="B3" s="176"/>
      <c r="C3" s="176"/>
      <c r="D3" s="176"/>
      <c r="E3" s="4"/>
      <c r="F3" s="97"/>
      <c r="G3" s="97"/>
      <c r="H3" s="5"/>
    </row>
    <row r="4" spans="1:14" ht="15" customHeight="1" x14ac:dyDescent="0.25">
      <c r="A4" s="75" t="s">
        <v>19</v>
      </c>
      <c r="B4" s="194" t="str">
        <f>IF('Summary Sheet'!B51="","",'Summary Sheet'!B51)</f>
        <v>1421 W 73RD PL</v>
      </c>
      <c r="C4" s="194"/>
      <c r="D4" s="97"/>
      <c r="E4" s="4"/>
      <c r="F4" s="97"/>
      <c r="G4" s="97"/>
      <c r="H4" s="5"/>
    </row>
    <row r="5" spans="1:14" ht="15" customHeight="1" x14ac:dyDescent="0.25">
      <c r="A5" s="75" t="s">
        <v>20</v>
      </c>
      <c r="B5" s="195" t="str">
        <f>IF('Summary Sheet'!C51="","",'Summary Sheet'!C51)</f>
        <v/>
      </c>
      <c r="C5" s="195"/>
      <c r="D5" s="97"/>
      <c r="E5" s="4"/>
      <c r="F5" s="97"/>
      <c r="G5" s="97"/>
      <c r="H5" s="5"/>
    </row>
    <row r="6" spans="1:14" ht="15" customHeight="1" x14ac:dyDescent="0.25">
      <c r="A6" s="75" t="s">
        <v>36</v>
      </c>
      <c r="B6" s="177"/>
      <c r="C6" s="177"/>
      <c r="D6" s="6"/>
      <c r="E6" s="7"/>
    </row>
    <row r="7" spans="1:14" ht="15" customHeight="1" x14ac:dyDescent="0.25">
      <c r="A7" s="7"/>
      <c r="B7" s="196" t="s">
        <v>34</v>
      </c>
      <c r="C7" s="196"/>
      <c r="D7" s="10"/>
    </row>
    <row r="8" spans="1:14" ht="20.100000000000001" customHeight="1" x14ac:dyDescent="0.25">
      <c r="B8" s="11"/>
      <c r="C8" s="11"/>
      <c r="D8" s="12" t="s">
        <v>31</v>
      </c>
      <c r="F8" s="180" t="s">
        <v>32</v>
      </c>
      <c r="G8" s="181"/>
      <c r="H8" s="182"/>
    </row>
    <row r="9" spans="1:14" s="14" customFormat="1" ht="20.100000000000001" customHeight="1" x14ac:dyDescent="0.25">
      <c r="A9" s="197"/>
      <c r="B9" s="197"/>
      <c r="C9" s="197"/>
      <c r="D9" s="13">
        <f>SUM(D27,D46,D65,D84,D103,D122,D141,D160)</f>
        <v>0</v>
      </c>
      <c r="F9" s="15" t="s">
        <v>28</v>
      </c>
      <c r="G9" s="15" t="s">
        <v>29</v>
      </c>
      <c r="H9" s="15" t="s">
        <v>30</v>
      </c>
      <c r="I9" s="16"/>
      <c r="J9" s="16"/>
      <c r="K9" s="16"/>
      <c r="L9" s="16"/>
      <c r="M9" s="16"/>
      <c r="N9" s="16"/>
    </row>
    <row r="10" spans="1:14" s="17" customFormat="1" ht="23.1" customHeight="1" x14ac:dyDescent="0.3">
      <c r="A10" s="198" t="s">
        <v>51</v>
      </c>
      <c r="B10" s="198"/>
      <c r="C10" s="198"/>
      <c r="D10" s="198"/>
      <c r="F10" s="183" t="s">
        <v>66</v>
      </c>
      <c r="G10" s="184"/>
      <c r="H10" s="185"/>
      <c r="I10" s="18"/>
      <c r="J10" s="18"/>
      <c r="K10" s="18"/>
      <c r="L10" s="18"/>
      <c r="M10" s="19"/>
      <c r="N10" s="20"/>
    </row>
    <row r="11" spans="1:14" s="24" customFormat="1" ht="12.75" customHeight="1" x14ac:dyDescent="0.25">
      <c r="A11" s="21" t="s">
        <v>21</v>
      </c>
      <c r="B11" s="22" t="s">
        <v>22</v>
      </c>
      <c r="C11" s="22" t="s">
        <v>23</v>
      </c>
      <c r="D11" s="23" t="s">
        <v>25</v>
      </c>
      <c r="F11" s="186"/>
      <c r="G11" s="187"/>
      <c r="H11" s="188"/>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78" t="s">
        <v>53</v>
      </c>
      <c r="B27" s="179"/>
      <c r="C27" s="179"/>
      <c r="D27" s="96">
        <f>SUM(Grass_19[Amount])</f>
        <v>0</v>
      </c>
      <c r="F27" s="173" t="s">
        <v>33</v>
      </c>
      <c r="G27" s="174"/>
      <c r="H27" s="174"/>
      <c r="I27" s="35"/>
      <c r="J27" s="35"/>
      <c r="K27" s="35"/>
      <c r="L27" s="35"/>
      <c r="M27" s="36"/>
      <c r="N27" s="37"/>
    </row>
    <row r="28" spans="1:14" s="40" customFormat="1" ht="11.1" customHeight="1" x14ac:dyDescent="0.3">
      <c r="A28" s="38"/>
      <c r="B28" s="38"/>
      <c r="C28" s="38"/>
      <c r="D28" s="39"/>
      <c r="F28" s="173"/>
      <c r="G28" s="174"/>
      <c r="H28" s="174"/>
      <c r="I28" s="35"/>
      <c r="J28" s="35"/>
      <c r="K28" s="35"/>
      <c r="L28" s="35"/>
      <c r="M28" s="36"/>
      <c r="N28" s="37"/>
    </row>
    <row r="29" spans="1:14" s="17" customFormat="1" ht="23.1" customHeight="1" x14ac:dyDescent="0.3">
      <c r="A29" s="191" t="s">
        <v>67</v>
      </c>
      <c r="B29" s="192"/>
      <c r="C29" s="192"/>
      <c r="D29" s="193"/>
      <c r="F29" s="183" t="s">
        <v>52</v>
      </c>
      <c r="G29" s="184"/>
      <c r="H29" s="185"/>
      <c r="I29" s="18"/>
      <c r="J29" s="18"/>
      <c r="K29" s="18"/>
      <c r="L29" s="18"/>
      <c r="M29" s="19"/>
      <c r="N29" s="20"/>
    </row>
    <row r="30" spans="1:14" s="41" customFormat="1" ht="12.75" customHeight="1" x14ac:dyDescent="0.25">
      <c r="A30" s="21" t="s">
        <v>21</v>
      </c>
      <c r="B30" s="22" t="s">
        <v>22</v>
      </c>
      <c r="C30" s="22" t="s">
        <v>23</v>
      </c>
      <c r="D30" s="23" t="s">
        <v>25</v>
      </c>
      <c r="F30" s="186"/>
      <c r="G30" s="187"/>
      <c r="H30" s="188"/>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98"/>
      <c r="J44" s="29"/>
      <c r="K44" s="29"/>
      <c r="L44" s="98"/>
      <c r="M44" s="30"/>
      <c r="N44" s="16"/>
    </row>
    <row r="45" spans="1:14" x14ac:dyDescent="0.3">
      <c r="A45" s="106"/>
      <c r="B45" s="107"/>
      <c r="C45" s="107"/>
      <c r="D45" s="114"/>
      <c r="F45" s="103"/>
      <c r="G45" s="104"/>
      <c r="H45" s="109"/>
      <c r="I45" s="98"/>
      <c r="J45" s="29"/>
      <c r="K45" s="29"/>
      <c r="L45" s="98"/>
      <c r="M45" s="30"/>
      <c r="N45" s="16"/>
    </row>
    <row r="46" spans="1:14" s="34" customFormat="1" x14ac:dyDescent="0.3">
      <c r="A46" s="178" t="s">
        <v>54</v>
      </c>
      <c r="B46" s="179"/>
      <c r="C46" s="179"/>
      <c r="D46" s="96">
        <f>SUM(Tree_19[Amount])</f>
        <v>0</v>
      </c>
      <c r="F46" s="173" t="s">
        <v>33</v>
      </c>
      <c r="G46" s="174"/>
      <c r="H46" s="174"/>
      <c r="I46" s="43"/>
      <c r="J46" s="43"/>
      <c r="K46" s="43"/>
      <c r="L46" s="43"/>
      <c r="M46" s="36"/>
      <c r="N46" s="37"/>
    </row>
    <row r="47" spans="1:14" s="40" customFormat="1" ht="11.1" customHeight="1" x14ac:dyDescent="0.3">
      <c r="A47" s="38"/>
      <c r="B47" s="38"/>
      <c r="C47" s="38"/>
      <c r="D47" s="39"/>
      <c r="F47" s="173"/>
      <c r="G47" s="174"/>
      <c r="H47" s="174"/>
      <c r="I47" s="43"/>
      <c r="J47" s="43"/>
      <c r="K47" s="43"/>
      <c r="L47" s="43"/>
      <c r="M47" s="36"/>
      <c r="N47" s="37"/>
    </row>
    <row r="48" spans="1:14" s="17" customFormat="1" ht="23.1" customHeight="1" x14ac:dyDescent="0.3">
      <c r="A48" s="191" t="s">
        <v>68</v>
      </c>
      <c r="B48" s="192"/>
      <c r="C48" s="192"/>
      <c r="D48" s="193"/>
      <c r="F48" s="183" t="s">
        <v>55</v>
      </c>
      <c r="G48" s="184"/>
      <c r="H48" s="185"/>
      <c r="I48" s="44"/>
      <c r="J48" s="44"/>
      <c r="K48" s="44"/>
      <c r="L48" s="44"/>
      <c r="M48" s="19"/>
      <c r="N48" s="20"/>
    </row>
    <row r="49" spans="1:14" s="41" customFormat="1" ht="12.75" customHeight="1" x14ac:dyDescent="0.25">
      <c r="A49" s="21" t="s">
        <v>21</v>
      </c>
      <c r="B49" s="22" t="s">
        <v>22</v>
      </c>
      <c r="C49" s="22" t="s">
        <v>23</v>
      </c>
      <c r="D49" s="23" t="s">
        <v>25</v>
      </c>
      <c r="F49" s="186"/>
      <c r="G49" s="187"/>
      <c r="H49" s="188"/>
      <c r="I49" s="98"/>
      <c r="J49" s="98"/>
      <c r="K49" s="98"/>
      <c r="L49" s="98"/>
      <c r="M49" s="30"/>
      <c r="N49" s="42"/>
    </row>
    <row r="50" spans="1:14" x14ac:dyDescent="0.3">
      <c r="A50" s="100"/>
      <c r="B50" s="101"/>
      <c r="C50" s="101"/>
      <c r="D50" s="112"/>
      <c r="F50" s="103"/>
      <c r="G50" s="104"/>
      <c r="H50" s="109"/>
      <c r="I50" s="98"/>
      <c r="J50" s="98"/>
      <c r="K50" s="98"/>
      <c r="L50" s="98"/>
      <c r="M50" s="30"/>
      <c r="N50" s="16"/>
    </row>
    <row r="51" spans="1:14" x14ac:dyDescent="0.3">
      <c r="A51" s="106"/>
      <c r="B51" s="107"/>
      <c r="C51" s="107"/>
      <c r="D51" s="113"/>
      <c r="F51" s="103"/>
      <c r="G51" s="104"/>
      <c r="H51" s="109"/>
      <c r="I51" s="98"/>
      <c r="J51" s="98"/>
      <c r="K51" s="98"/>
      <c r="L51" s="98"/>
      <c r="M51" s="30"/>
      <c r="N51" s="16"/>
    </row>
    <row r="52" spans="1:14" x14ac:dyDescent="0.3">
      <c r="A52" s="106"/>
      <c r="B52" s="107"/>
      <c r="C52" s="107"/>
      <c r="D52" s="114"/>
      <c r="F52" s="103"/>
      <c r="H52" s="109"/>
      <c r="I52" s="98"/>
      <c r="J52" s="98"/>
      <c r="K52" s="98"/>
      <c r="L52" s="98"/>
      <c r="M52" s="30"/>
      <c r="N52" s="16"/>
    </row>
    <row r="53" spans="1:14" x14ac:dyDescent="0.3">
      <c r="A53" s="106"/>
      <c r="B53" s="107"/>
      <c r="C53" s="107"/>
      <c r="D53" s="113"/>
      <c r="F53" s="103"/>
      <c r="G53" s="104"/>
      <c r="H53" s="109"/>
      <c r="I53" s="98"/>
      <c r="J53" s="98"/>
      <c r="K53" s="98"/>
      <c r="L53" s="98"/>
      <c r="M53" s="30"/>
      <c r="N53" s="16"/>
    </row>
    <row r="54" spans="1:14" x14ac:dyDescent="0.3">
      <c r="A54" s="106"/>
      <c r="B54" s="107"/>
      <c r="C54" s="107"/>
      <c r="D54" s="114"/>
      <c r="F54" s="103"/>
      <c r="G54" s="104"/>
      <c r="H54" s="109"/>
      <c r="I54" s="98"/>
      <c r="J54" s="98"/>
      <c r="K54" s="98"/>
      <c r="L54" s="98"/>
      <c r="M54" s="30"/>
      <c r="N54" s="16"/>
    </row>
    <row r="55" spans="1:14" x14ac:dyDescent="0.3">
      <c r="A55" s="106"/>
      <c r="B55" s="107"/>
      <c r="C55" s="107"/>
      <c r="D55" s="113"/>
      <c r="F55" s="103"/>
      <c r="G55" s="104"/>
      <c r="H55" s="109"/>
      <c r="I55" s="98"/>
      <c r="J55" s="98"/>
      <c r="K55" s="98"/>
      <c r="L55" s="98"/>
      <c r="M55" s="30"/>
      <c r="N55" s="16"/>
    </row>
    <row r="56" spans="1:14" x14ac:dyDescent="0.3">
      <c r="A56" s="106"/>
      <c r="B56" s="107"/>
      <c r="C56" s="107"/>
      <c r="D56" s="114"/>
      <c r="F56" s="103"/>
      <c r="G56" s="104"/>
      <c r="H56" s="109"/>
      <c r="I56" s="98"/>
      <c r="J56" s="98"/>
      <c r="K56" s="98"/>
      <c r="L56" s="98"/>
      <c r="M56" s="30"/>
      <c r="N56" s="16"/>
    </row>
    <row r="57" spans="1:14" x14ac:dyDescent="0.3">
      <c r="A57" s="106"/>
      <c r="B57" s="107"/>
      <c r="C57" s="107"/>
      <c r="D57" s="113"/>
      <c r="F57" s="103"/>
      <c r="G57" s="104"/>
      <c r="H57" s="109"/>
      <c r="I57" s="98"/>
      <c r="J57" s="98"/>
      <c r="K57" s="98"/>
      <c r="L57" s="98"/>
      <c r="M57" s="30"/>
      <c r="N57" s="16"/>
    </row>
    <row r="58" spans="1:14" x14ac:dyDescent="0.3">
      <c r="A58" s="106"/>
      <c r="B58" s="107"/>
      <c r="C58" s="107"/>
      <c r="D58" s="114"/>
      <c r="F58" s="103"/>
      <c r="G58" s="104"/>
      <c r="H58" s="109"/>
      <c r="I58" s="98"/>
      <c r="J58" s="98"/>
      <c r="K58" s="98"/>
      <c r="L58" s="98"/>
      <c r="M58" s="30"/>
      <c r="N58" s="16"/>
    </row>
    <row r="59" spans="1:14" x14ac:dyDescent="0.3">
      <c r="A59" s="106"/>
      <c r="B59" s="107"/>
      <c r="C59" s="107"/>
      <c r="D59" s="113"/>
      <c r="F59" s="103"/>
      <c r="G59" s="104"/>
      <c r="H59" s="109"/>
      <c r="I59" s="98"/>
      <c r="J59" s="190"/>
      <c r="K59" s="190"/>
      <c r="L59" s="98"/>
      <c r="M59" s="30"/>
      <c r="N59" s="16"/>
    </row>
    <row r="60" spans="1:14" x14ac:dyDescent="0.3">
      <c r="A60" s="106"/>
      <c r="B60" s="107"/>
      <c r="C60" s="107"/>
      <c r="D60" s="114"/>
      <c r="F60" s="103"/>
      <c r="G60" s="104"/>
      <c r="H60" s="109"/>
      <c r="I60" s="189"/>
      <c r="J60" s="189"/>
      <c r="K60" s="189"/>
      <c r="L60" s="189"/>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78" t="s">
        <v>56</v>
      </c>
      <c r="B65" s="179"/>
      <c r="C65" s="179"/>
      <c r="D65" s="96">
        <f>SUM(Pest_19[Amount])</f>
        <v>0</v>
      </c>
      <c r="F65" s="173" t="s">
        <v>33</v>
      </c>
      <c r="G65" s="174"/>
      <c r="H65" s="174"/>
    </row>
    <row r="66" spans="1:8" x14ac:dyDescent="0.3">
      <c r="F66" s="173"/>
      <c r="G66" s="174"/>
      <c r="H66" s="174"/>
    </row>
    <row r="67" spans="1:8" ht="17.399999999999999" x14ac:dyDescent="0.3">
      <c r="A67" s="198" t="s">
        <v>69</v>
      </c>
      <c r="B67" s="198"/>
      <c r="C67" s="198"/>
      <c r="D67" s="198"/>
      <c r="E67" s="17"/>
      <c r="F67" s="183" t="s">
        <v>57</v>
      </c>
      <c r="G67" s="184"/>
      <c r="H67" s="185"/>
    </row>
    <row r="68" spans="1:8" x14ac:dyDescent="0.3">
      <c r="A68" s="21" t="s">
        <v>21</v>
      </c>
      <c r="B68" s="22" t="s">
        <v>22</v>
      </c>
      <c r="C68" s="22" t="s">
        <v>23</v>
      </c>
      <c r="D68" s="23" t="s">
        <v>25</v>
      </c>
      <c r="E68" s="24"/>
      <c r="F68" s="186"/>
      <c r="G68" s="187"/>
      <c r="H68" s="188"/>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78" t="s">
        <v>58</v>
      </c>
      <c r="B84" s="179"/>
      <c r="C84" s="179"/>
      <c r="D84" s="96">
        <f>SUM(Garbage_19[Amount])</f>
        <v>0</v>
      </c>
      <c r="E84" s="34"/>
      <c r="F84" s="173" t="s">
        <v>33</v>
      </c>
      <c r="G84" s="174"/>
      <c r="H84" s="174"/>
    </row>
    <row r="85" spans="1:8" x14ac:dyDescent="0.3">
      <c r="A85" s="38"/>
      <c r="B85" s="38"/>
      <c r="C85" s="38"/>
      <c r="D85" s="39"/>
      <c r="E85" s="40"/>
      <c r="F85" s="173"/>
      <c r="G85" s="174"/>
      <c r="H85" s="174"/>
    </row>
    <row r="86" spans="1:8" ht="17.399999999999999" x14ac:dyDescent="0.3">
      <c r="A86" s="191" t="s">
        <v>59</v>
      </c>
      <c r="B86" s="192"/>
      <c r="C86" s="192"/>
      <c r="D86" s="193"/>
      <c r="E86" s="17"/>
      <c r="F86" s="183" t="s">
        <v>60</v>
      </c>
      <c r="G86" s="184"/>
      <c r="H86" s="185"/>
    </row>
    <row r="87" spans="1:8" x14ac:dyDescent="0.3">
      <c r="A87" s="21" t="s">
        <v>21</v>
      </c>
      <c r="B87" s="22" t="s">
        <v>22</v>
      </c>
      <c r="C87" s="22" t="s">
        <v>23</v>
      </c>
      <c r="D87" s="23" t="s">
        <v>25</v>
      </c>
      <c r="E87" s="41"/>
      <c r="F87" s="186"/>
      <c r="G87" s="187"/>
      <c r="H87" s="188"/>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78" t="s">
        <v>61</v>
      </c>
      <c r="B103" s="179"/>
      <c r="C103" s="179"/>
      <c r="D103" s="96">
        <f>SUM(Boarding_19[Amount])</f>
        <v>0</v>
      </c>
      <c r="E103" s="34"/>
      <c r="F103" s="173" t="s">
        <v>33</v>
      </c>
      <c r="G103" s="174"/>
      <c r="H103" s="174"/>
    </row>
    <row r="104" spans="1:8" x14ac:dyDescent="0.3">
      <c r="A104" s="38"/>
      <c r="B104" s="38"/>
      <c r="C104" s="38"/>
      <c r="D104" s="39"/>
      <c r="E104" s="40"/>
      <c r="F104" s="173"/>
      <c r="G104" s="174"/>
      <c r="H104" s="174"/>
    </row>
    <row r="105" spans="1:8" ht="17.399999999999999" x14ac:dyDescent="0.3">
      <c r="A105" s="191" t="s">
        <v>70</v>
      </c>
      <c r="B105" s="192"/>
      <c r="C105" s="192"/>
      <c r="D105" s="193"/>
      <c r="E105" s="17"/>
      <c r="F105" s="183" t="s">
        <v>62</v>
      </c>
      <c r="G105" s="184"/>
      <c r="H105" s="185"/>
    </row>
    <row r="106" spans="1:8" x14ac:dyDescent="0.3">
      <c r="A106" s="21" t="s">
        <v>21</v>
      </c>
      <c r="B106" s="22" t="s">
        <v>22</v>
      </c>
      <c r="C106" s="22" t="s">
        <v>23</v>
      </c>
      <c r="D106" s="23" t="s">
        <v>25</v>
      </c>
      <c r="E106" s="41"/>
      <c r="F106" s="186"/>
      <c r="G106" s="187"/>
      <c r="H106" s="188"/>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78" t="s">
        <v>63</v>
      </c>
      <c r="B122" s="179"/>
      <c r="C122" s="179"/>
      <c r="D122" s="96">
        <f>SUM(Fence_19[Amount])</f>
        <v>0</v>
      </c>
      <c r="E122" s="34"/>
      <c r="F122" s="173" t="s">
        <v>33</v>
      </c>
      <c r="G122" s="174"/>
      <c r="H122" s="174"/>
    </row>
    <row r="123" spans="1:8" x14ac:dyDescent="0.3">
      <c r="F123" s="173"/>
      <c r="G123" s="174"/>
      <c r="H123" s="174"/>
    </row>
    <row r="124" spans="1:8" ht="17.399999999999999" x14ac:dyDescent="0.3">
      <c r="A124" s="191" t="s">
        <v>26</v>
      </c>
      <c r="B124" s="192"/>
      <c r="C124" s="192"/>
      <c r="D124" s="193"/>
      <c r="E124" s="17"/>
      <c r="F124" s="183" t="s">
        <v>11</v>
      </c>
      <c r="G124" s="184"/>
      <c r="H124" s="185"/>
    </row>
    <row r="125" spans="1:8" x14ac:dyDescent="0.3">
      <c r="A125" s="21" t="s">
        <v>21</v>
      </c>
      <c r="B125" s="22" t="s">
        <v>22</v>
      </c>
      <c r="C125" s="22" t="s">
        <v>23</v>
      </c>
      <c r="D125" s="23" t="s">
        <v>25</v>
      </c>
      <c r="E125" s="41"/>
      <c r="F125" s="186"/>
      <c r="G125" s="187"/>
      <c r="H125" s="188"/>
    </row>
    <row r="126" spans="1:8" x14ac:dyDescent="0.3">
      <c r="A126" s="100"/>
      <c r="B126" s="101"/>
      <c r="C126" s="101">
        <v>24900</v>
      </c>
      <c r="D126" s="112"/>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78" t="s">
        <v>27</v>
      </c>
      <c r="B141" s="179"/>
      <c r="C141" s="179"/>
      <c r="D141" s="96">
        <f>SUM(Demolition_19[Amount])</f>
        <v>0</v>
      </c>
      <c r="E141" s="34"/>
      <c r="F141" s="173" t="s">
        <v>33</v>
      </c>
      <c r="G141" s="174"/>
      <c r="H141" s="174"/>
    </row>
    <row r="142" spans="1:8" x14ac:dyDescent="0.3">
      <c r="A142" s="38"/>
      <c r="B142" s="38"/>
      <c r="C142" s="38"/>
      <c r="D142" s="39"/>
      <c r="E142" s="40"/>
      <c r="F142" s="173"/>
      <c r="G142" s="174"/>
      <c r="H142" s="174"/>
    </row>
    <row r="143" spans="1:8" ht="17.399999999999999" x14ac:dyDescent="0.3">
      <c r="A143" s="191" t="s">
        <v>64</v>
      </c>
      <c r="B143" s="192"/>
      <c r="C143" s="192"/>
      <c r="D143" s="193"/>
      <c r="E143" s="17"/>
      <c r="F143" s="183" t="s">
        <v>44</v>
      </c>
      <c r="G143" s="184"/>
      <c r="H143" s="185"/>
    </row>
    <row r="144" spans="1:8" x14ac:dyDescent="0.3">
      <c r="A144" s="21" t="s">
        <v>21</v>
      </c>
      <c r="B144" s="22" t="s">
        <v>22</v>
      </c>
      <c r="C144" s="22" t="s">
        <v>23</v>
      </c>
      <c r="D144" s="23" t="s">
        <v>25</v>
      </c>
      <c r="E144" s="41"/>
      <c r="F144" s="186"/>
      <c r="G144" s="187"/>
      <c r="H144" s="188"/>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78" t="s">
        <v>65</v>
      </c>
      <c r="B160" s="179"/>
      <c r="C160" s="179"/>
      <c r="D160" s="96">
        <f>SUM(Rehab_19[Amount])</f>
        <v>0</v>
      </c>
      <c r="E160" s="34"/>
      <c r="F160" s="173" t="s">
        <v>33</v>
      </c>
      <c r="G160" s="174"/>
      <c r="H160" s="174"/>
    </row>
    <row r="161" spans="6:8" x14ac:dyDescent="0.3">
      <c r="F161" s="173"/>
      <c r="G161" s="174"/>
      <c r="H161" s="174"/>
    </row>
  </sheetData>
  <sheetProtection algorithmName="SHA-512" hashValue="4lg74yDagJ6J4993L2cjPbNoadh6j/VXIrq+FUcB95wwOa3X55XuC9J+8dHbpDEQtr12wN/rDHvU/LYNhQk4QA==" saltValue="WN7TNOTggSTyYtj25oQdmQ=="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N161"/>
  <sheetViews>
    <sheetView showGridLines="0" zoomScaleNormal="100" workbookViewId="0">
      <pane ySplit="9" topLeftCell="A112" activePane="bottomLeft" state="frozen"/>
      <selection pane="bottomLeft" activeCell="D126" sqref="D126"/>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5" t="s">
        <v>24</v>
      </c>
      <c r="B1" s="175"/>
      <c r="C1" s="175"/>
      <c r="D1" s="175"/>
      <c r="E1" s="1"/>
      <c r="F1" s="2"/>
      <c r="G1" s="2"/>
      <c r="H1" s="1"/>
    </row>
    <row r="2" spans="1:14" ht="24.9" customHeight="1" x14ac:dyDescent="0.3">
      <c r="A2" s="176" t="s">
        <v>71</v>
      </c>
      <c r="B2" s="176"/>
      <c r="C2" s="176"/>
      <c r="D2" s="176"/>
      <c r="E2" s="4"/>
      <c r="F2" s="97"/>
      <c r="G2" s="97"/>
      <c r="H2" s="5"/>
    </row>
    <row r="3" spans="1:14" ht="31.5" customHeight="1" x14ac:dyDescent="0.3">
      <c r="A3" s="176"/>
      <c r="B3" s="176"/>
      <c r="C3" s="176"/>
      <c r="D3" s="176"/>
      <c r="E3" s="4"/>
      <c r="F3" s="97"/>
      <c r="G3" s="97"/>
      <c r="H3" s="5"/>
    </row>
    <row r="4" spans="1:14" ht="15" customHeight="1" x14ac:dyDescent="0.25">
      <c r="A4" s="75" t="s">
        <v>19</v>
      </c>
      <c r="B4" s="194" t="str">
        <f>IF('Summary Sheet'!B52="","",'Summary Sheet'!B52)</f>
        <v>1422 N LOCKWOOD AVE</v>
      </c>
      <c r="C4" s="194"/>
      <c r="D4" s="97"/>
      <c r="E4" s="4"/>
      <c r="F4" s="97"/>
      <c r="G4" s="97"/>
      <c r="H4" s="5"/>
    </row>
    <row r="5" spans="1:14" ht="15" customHeight="1" x14ac:dyDescent="0.25">
      <c r="A5" s="75" t="s">
        <v>20</v>
      </c>
      <c r="B5" s="195" t="str">
        <f>IF('Summary Sheet'!C52="","",'Summary Sheet'!C52)</f>
        <v/>
      </c>
      <c r="C5" s="195"/>
      <c r="D5" s="97"/>
      <c r="E5" s="4"/>
      <c r="F5" s="97"/>
      <c r="G5" s="97"/>
      <c r="H5" s="5"/>
    </row>
    <row r="6" spans="1:14" ht="15" customHeight="1" x14ac:dyDescent="0.25">
      <c r="A6" s="75" t="s">
        <v>36</v>
      </c>
      <c r="B6" s="177"/>
      <c r="C6" s="177"/>
      <c r="D6" s="6"/>
      <c r="E6" s="7"/>
    </row>
    <row r="7" spans="1:14" ht="15" customHeight="1" x14ac:dyDescent="0.25">
      <c r="A7" s="7"/>
      <c r="B7" s="196" t="s">
        <v>34</v>
      </c>
      <c r="C7" s="196"/>
      <c r="D7" s="10"/>
    </row>
    <row r="8" spans="1:14" ht="20.100000000000001" customHeight="1" x14ac:dyDescent="0.25">
      <c r="B8" s="11"/>
      <c r="C8" s="11"/>
      <c r="D8" s="12" t="s">
        <v>31</v>
      </c>
      <c r="F8" s="180" t="s">
        <v>32</v>
      </c>
      <c r="G8" s="181"/>
      <c r="H8" s="182"/>
    </row>
    <row r="9" spans="1:14" s="14" customFormat="1" ht="20.100000000000001" customHeight="1" x14ac:dyDescent="0.25">
      <c r="A9" s="197"/>
      <c r="B9" s="197"/>
      <c r="C9" s="197"/>
      <c r="D9" s="13">
        <f>SUM(D27,D46,D65,D84,D103,D122,D141,D160)</f>
        <v>19510</v>
      </c>
      <c r="F9" s="15" t="s">
        <v>28</v>
      </c>
      <c r="G9" s="15" t="s">
        <v>29</v>
      </c>
      <c r="H9" s="15" t="s">
        <v>30</v>
      </c>
      <c r="I9" s="16"/>
      <c r="J9" s="16"/>
      <c r="K9" s="16"/>
      <c r="L9" s="16"/>
      <c r="M9" s="16"/>
      <c r="N9" s="16"/>
    </row>
    <row r="10" spans="1:14" s="17" customFormat="1" ht="23.1" customHeight="1" x14ac:dyDescent="0.3">
      <c r="A10" s="198" t="s">
        <v>51</v>
      </c>
      <c r="B10" s="198"/>
      <c r="C10" s="198"/>
      <c r="D10" s="198"/>
      <c r="F10" s="183" t="s">
        <v>66</v>
      </c>
      <c r="G10" s="184"/>
      <c r="H10" s="185"/>
      <c r="I10" s="18"/>
      <c r="J10" s="18"/>
      <c r="K10" s="18"/>
      <c r="L10" s="18"/>
      <c r="M10" s="19"/>
      <c r="N10" s="20"/>
    </row>
    <row r="11" spans="1:14" s="24" customFormat="1" ht="12.75" customHeight="1" x14ac:dyDescent="0.25">
      <c r="A11" s="21" t="s">
        <v>21</v>
      </c>
      <c r="B11" s="22" t="s">
        <v>22</v>
      </c>
      <c r="C11" s="22" t="s">
        <v>23</v>
      </c>
      <c r="D11" s="23" t="s">
        <v>25</v>
      </c>
      <c r="F11" s="186"/>
      <c r="G11" s="187"/>
      <c r="H11" s="188"/>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78" t="s">
        <v>53</v>
      </c>
      <c r="B27" s="179"/>
      <c r="C27" s="179"/>
      <c r="D27" s="96">
        <f>SUM(Grass_20[Amount])</f>
        <v>0</v>
      </c>
      <c r="F27" s="173" t="s">
        <v>33</v>
      </c>
      <c r="G27" s="174"/>
      <c r="H27" s="174"/>
      <c r="I27" s="35"/>
      <c r="J27" s="35"/>
      <c r="K27" s="35"/>
      <c r="L27" s="35"/>
      <c r="M27" s="36"/>
      <c r="N27" s="37"/>
    </row>
    <row r="28" spans="1:14" s="40" customFormat="1" ht="11.1" customHeight="1" x14ac:dyDescent="0.3">
      <c r="A28" s="38"/>
      <c r="B28" s="38"/>
      <c r="C28" s="38"/>
      <c r="D28" s="39"/>
      <c r="F28" s="173"/>
      <c r="G28" s="174"/>
      <c r="H28" s="174"/>
      <c r="I28" s="35"/>
      <c r="J28" s="35"/>
      <c r="K28" s="35"/>
      <c r="L28" s="35"/>
      <c r="M28" s="36"/>
      <c r="N28" s="37"/>
    </row>
    <row r="29" spans="1:14" s="17" customFormat="1" ht="23.1" customHeight="1" x14ac:dyDescent="0.3">
      <c r="A29" s="191" t="s">
        <v>67</v>
      </c>
      <c r="B29" s="192"/>
      <c r="C29" s="192"/>
      <c r="D29" s="193"/>
      <c r="F29" s="183" t="s">
        <v>52</v>
      </c>
      <c r="G29" s="184"/>
      <c r="H29" s="185"/>
      <c r="I29" s="18"/>
      <c r="J29" s="18"/>
      <c r="K29" s="18"/>
      <c r="L29" s="18"/>
      <c r="M29" s="19"/>
      <c r="N29" s="20"/>
    </row>
    <row r="30" spans="1:14" s="41" customFormat="1" ht="12.75" customHeight="1" x14ac:dyDescent="0.25">
      <c r="A30" s="21" t="s">
        <v>21</v>
      </c>
      <c r="B30" s="22" t="s">
        <v>22</v>
      </c>
      <c r="C30" s="22" t="s">
        <v>23</v>
      </c>
      <c r="D30" s="23" t="s">
        <v>25</v>
      </c>
      <c r="F30" s="186"/>
      <c r="G30" s="187"/>
      <c r="H30" s="188"/>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98"/>
      <c r="J44" s="29"/>
      <c r="K44" s="29"/>
      <c r="L44" s="98"/>
      <c r="M44" s="30"/>
      <c r="N44" s="16"/>
    </row>
    <row r="45" spans="1:14" x14ac:dyDescent="0.3">
      <c r="A45" s="106"/>
      <c r="B45" s="107"/>
      <c r="C45" s="107"/>
      <c r="D45" s="114"/>
      <c r="F45" s="103"/>
      <c r="G45" s="104"/>
      <c r="H45" s="109"/>
      <c r="I45" s="98"/>
      <c r="J45" s="29"/>
      <c r="K45" s="29"/>
      <c r="L45" s="98"/>
      <c r="M45" s="30"/>
      <c r="N45" s="16"/>
    </row>
    <row r="46" spans="1:14" s="34" customFormat="1" x14ac:dyDescent="0.3">
      <c r="A46" s="178" t="s">
        <v>54</v>
      </c>
      <c r="B46" s="179"/>
      <c r="C46" s="179"/>
      <c r="D46" s="96">
        <f>SUM(Tree_20[Amount])</f>
        <v>0</v>
      </c>
      <c r="F46" s="173" t="s">
        <v>33</v>
      </c>
      <c r="G46" s="174"/>
      <c r="H46" s="174"/>
      <c r="I46" s="43"/>
      <c r="J46" s="43"/>
      <c r="K46" s="43"/>
      <c r="L46" s="43"/>
      <c r="M46" s="36"/>
      <c r="N46" s="37"/>
    </row>
    <row r="47" spans="1:14" s="40" customFormat="1" ht="11.1" customHeight="1" x14ac:dyDescent="0.3">
      <c r="A47" s="38"/>
      <c r="B47" s="38"/>
      <c r="C47" s="38"/>
      <c r="D47" s="39"/>
      <c r="F47" s="173"/>
      <c r="G47" s="174"/>
      <c r="H47" s="174"/>
      <c r="I47" s="43"/>
      <c r="J47" s="43"/>
      <c r="K47" s="43"/>
      <c r="L47" s="43"/>
      <c r="M47" s="36"/>
      <c r="N47" s="37"/>
    </row>
    <row r="48" spans="1:14" s="17" customFormat="1" ht="23.1" customHeight="1" x14ac:dyDescent="0.3">
      <c r="A48" s="191" t="s">
        <v>68</v>
      </c>
      <c r="B48" s="192"/>
      <c r="C48" s="192"/>
      <c r="D48" s="193"/>
      <c r="F48" s="183" t="s">
        <v>55</v>
      </c>
      <c r="G48" s="184"/>
      <c r="H48" s="185"/>
      <c r="I48" s="44"/>
      <c r="J48" s="44"/>
      <c r="K48" s="44"/>
      <c r="L48" s="44"/>
      <c r="M48" s="19"/>
      <c r="N48" s="20"/>
    </row>
    <row r="49" spans="1:14" s="41" customFormat="1" ht="12.75" customHeight="1" x14ac:dyDescent="0.25">
      <c r="A49" s="21" t="s">
        <v>21</v>
      </c>
      <c r="B49" s="22" t="s">
        <v>22</v>
      </c>
      <c r="C49" s="22" t="s">
        <v>23</v>
      </c>
      <c r="D49" s="23" t="s">
        <v>25</v>
      </c>
      <c r="F49" s="186"/>
      <c r="G49" s="187"/>
      <c r="H49" s="188"/>
      <c r="I49" s="98"/>
      <c r="J49" s="98"/>
      <c r="K49" s="98"/>
      <c r="L49" s="98"/>
      <c r="M49" s="30"/>
      <c r="N49" s="42"/>
    </row>
    <row r="50" spans="1:14" x14ac:dyDescent="0.3">
      <c r="A50" s="100"/>
      <c r="B50" s="101"/>
      <c r="C50" s="101"/>
      <c r="D50" s="112"/>
      <c r="F50" s="103"/>
      <c r="G50" s="104"/>
      <c r="H50" s="109"/>
      <c r="I50" s="98"/>
      <c r="J50" s="98"/>
      <c r="K50" s="98"/>
      <c r="L50" s="98"/>
      <c r="M50" s="30"/>
      <c r="N50" s="16"/>
    </row>
    <row r="51" spans="1:14" x14ac:dyDescent="0.3">
      <c r="A51" s="106"/>
      <c r="B51" s="107"/>
      <c r="C51" s="107"/>
      <c r="D51" s="113"/>
      <c r="F51" s="103"/>
      <c r="G51" s="104"/>
      <c r="H51" s="109"/>
      <c r="I51" s="98"/>
      <c r="J51" s="98"/>
      <c r="K51" s="98"/>
      <c r="L51" s="98"/>
      <c r="M51" s="30"/>
      <c r="N51" s="16"/>
    </row>
    <row r="52" spans="1:14" x14ac:dyDescent="0.3">
      <c r="A52" s="106"/>
      <c r="B52" s="107"/>
      <c r="C52" s="107"/>
      <c r="D52" s="114"/>
      <c r="F52" s="103"/>
      <c r="H52" s="109"/>
      <c r="I52" s="98"/>
      <c r="J52" s="98"/>
      <c r="K52" s="98"/>
      <c r="L52" s="98"/>
      <c r="M52" s="30"/>
      <c r="N52" s="16"/>
    </row>
    <row r="53" spans="1:14" x14ac:dyDescent="0.3">
      <c r="A53" s="106"/>
      <c r="B53" s="107"/>
      <c r="C53" s="107"/>
      <c r="D53" s="113"/>
      <c r="F53" s="103"/>
      <c r="G53" s="104"/>
      <c r="H53" s="109"/>
      <c r="I53" s="98"/>
      <c r="J53" s="98"/>
      <c r="K53" s="98"/>
      <c r="L53" s="98"/>
      <c r="M53" s="30"/>
      <c r="N53" s="16"/>
    </row>
    <row r="54" spans="1:14" x14ac:dyDescent="0.3">
      <c r="A54" s="106"/>
      <c r="B54" s="107"/>
      <c r="C54" s="107"/>
      <c r="D54" s="114"/>
      <c r="F54" s="103"/>
      <c r="G54" s="104"/>
      <c r="H54" s="109"/>
      <c r="I54" s="98"/>
      <c r="J54" s="98"/>
      <c r="K54" s="98"/>
      <c r="L54" s="98"/>
      <c r="M54" s="30"/>
      <c r="N54" s="16"/>
    </row>
    <row r="55" spans="1:14" x14ac:dyDescent="0.3">
      <c r="A55" s="106"/>
      <c r="B55" s="107"/>
      <c r="C55" s="107"/>
      <c r="D55" s="113"/>
      <c r="F55" s="103"/>
      <c r="G55" s="104"/>
      <c r="H55" s="109"/>
      <c r="I55" s="98"/>
      <c r="J55" s="98"/>
      <c r="K55" s="98"/>
      <c r="L55" s="98"/>
      <c r="M55" s="30"/>
      <c r="N55" s="16"/>
    </row>
    <row r="56" spans="1:14" x14ac:dyDescent="0.3">
      <c r="A56" s="106"/>
      <c r="B56" s="107"/>
      <c r="C56" s="107"/>
      <c r="D56" s="114"/>
      <c r="F56" s="103"/>
      <c r="G56" s="104"/>
      <c r="H56" s="109"/>
      <c r="I56" s="98"/>
      <c r="J56" s="98"/>
      <c r="K56" s="98"/>
      <c r="L56" s="98"/>
      <c r="M56" s="30"/>
      <c r="N56" s="16"/>
    </row>
    <row r="57" spans="1:14" x14ac:dyDescent="0.3">
      <c r="A57" s="106"/>
      <c r="B57" s="107"/>
      <c r="C57" s="107"/>
      <c r="D57" s="113"/>
      <c r="F57" s="103"/>
      <c r="G57" s="104"/>
      <c r="H57" s="109"/>
      <c r="I57" s="98"/>
      <c r="J57" s="98"/>
      <c r="K57" s="98"/>
      <c r="L57" s="98"/>
      <c r="M57" s="30"/>
      <c r="N57" s="16"/>
    </row>
    <row r="58" spans="1:14" x14ac:dyDescent="0.3">
      <c r="A58" s="106"/>
      <c r="B58" s="107"/>
      <c r="C58" s="107"/>
      <c r="D58" s="114"/>
      <c r="F58" s="103"/>
      <c r="G58" s="104"/>
      <c r="H58" s="109"/>
      <c r="I58" s="98"/>
      <c r="J58" s="98"/>
      <c r="K58" s="98"/>
      <c r="L58" s="98"/>
      <c r="M58" s="30"/>
      <c r="N58" s="16"/>
    </row>
    <row r="59" spans="1:14" x14ac:dyDescent="0.3">
      <c r="A59" s="106"/>
      <c r="B59" s="107"/>
      <c r="C59" s="107"/>
      <c r="D59" s="113"/>
      <c r="F59" s="103"/>
      <c r="G59" s="104"/>
      <c r="H59" s="109"/>
      <c r="I59" s="98"/>
      <c r="J59" s="190"/>
      <c r="K59" s="190"/>
      <c r="L59" s="98"/>
      <c r="M59" s="30"/>
      <c r="N59" s="16"/>
    </row>
    <row r="60" spans="1:14" x14ac:dyDescent="0.3">
      <c r="A60" s="106"/>
      <c r="B60" s="107"/>
      <c r="C60" s="107"/>
      <c r="D60" s="114"/>
      <c r="F60" s="103"/>
      <c r="G60" s="104"/>
      <c r="H60" s="109"/>
      <c r="I60" s="189"/>
      <c r="J60" s="189"/>
      <c r="K60" s="189"/>
      <c r="L60" s="189"/>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78" t="s">
        <v>56</v>
      </c>
      <c r="B65" s="179"/>
      <c r="C65" s="179"/>
      <c r="D65" s="96">
        <f>SUM(Pest_20[Amount])</f>
        <v>0</v>
      </c>
      <c r="F65" s="173" t="s">
        <v>33</v>
      </c>
      <c r="G65" s="174"/>
      <c r="H65" s="174"/>
    </row>
    <row r="66" spans="1:8" x14ac:dyDescent="0.3">
      <c r="F66" s="173"/>
      <c r="G66" s="174"/>
      <c r="H66" s="174"/>
    </row>
    <row r="67" spans="1:8" ht="17.399999999999999" x14ac:dyDescent="0.3">
      <c r="A67" s="198" t="s">
        <v>69</v>
      </c>
      <c r="B67" s="198"/>
      <c r="C67" s="198"/>
      <c r="D67" s="198"/>
      <c r="E67" s="17"/>
      <c r="F67" s="183" t="s">
        <v>57</v>
      </c>
      <c r="G67" s="184"/>
      <c r="H67" s="185"/>
    </row>
    <row r="68" spans="1:8" x14ac:dyDescent="0.3">
      <c r="A68" s="21" t="s">
        <v>21</v>
      </c>
      <c r="B68" s="22" t="s">
        <v>22</v>
      </c>
      <c r="C68" s="22" t="s">
        <v>23</v>
      </c>
      <c r="D68" s="23" t="s">
        <v>25</v>
      </c>
      <c r="E68" s="24"/>
      <c r="F68" s="186"/>
      <c r="G68" s="187"/>
      <c r="H68" s="188"/>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78" t="s">
        <v>58</v>
      </c>
      <c r="B84" s="179"/>
      <c r="C84" s="179"/>
      <c r="D84" s="96">
        <f>SUM(Garbage_20[Amount])</f>
        <v>0</v>
      </c>
      <c r="E84" s="34"/>
      <c r="F84" s="173" t="s">
        <v>33</v>
      </c>
      <c r="G84" s="174"/>
      <c r="H84" s="174"/>
    </row>
    <row r="85" spans="1:8" x14ac:dyDescent="0.3">
      <c r="A85" s="38"/>
      <c r="B85" s="38"/>
      <c r="C85" s="38"/>
      <c r="D85" s="39"/>
      <c r="E85" s="40"/>
      <c r="F85" s="173"/>
      <c r="G85" s="174"/>
      <c r="H85" s="174"/>
    </row>
    <row r="86" spans="1:8" ht="17.399999999999999" x14ac:dyDescent="0.3">
      <c r="A86" s="191" t="s">
        <v>59</v>
      </c>
      <c r="B86" s="192"/>
      <c r="C86" s="192"/>
      <c r="D86" s="193"/>
      <c r="E86" s="17"/>
      <c r="F86" s="183" t="s">
        <v>60</v>
      </c>
      <c r="G86" s="184"/>
      <c r="H86" s="185"/>
    </row>
    <row r="87" spans="1:8" x14ac:dyDescent="0.3">
      <c r="A87" s="21" t="s">
        <v>21</v>
      </c>
      <c r="B87" s="22" t="s">
        <v>22</v>
      </c>
      <c r="C87" s="22" t="s">
        <v>23</v>
      </c>
      <c r="D87" s="23" t="s">
        <v>25</v>
      </c>
      <c r="E87" s="41"/>
      <c r="F87" s="186"/>
      <c r="G87" s="187"/>
      <c r="H87" s="188"/>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78" t="s">
        <v>61</v>
      </c>
      <c r="B103" s="179"/>
      <c r="C103" s="179"/>
      <c r="D103" s="96">
        <f>SUM(Boarding_20[Amount])</f>
        <v>0</v>
      </c>
      <c r="E103" s="34"/>
      <c r="F103" s="173" t="s">
        <v>33</v>
      </c>
      <c r="G103" s="174"/>
      <c r="H103" s="174"/>
    </row>
    <row r="104" spans="1:8" x14ac:dyDescent="0.3">
      <c r="A104" s="38"/>
      <c r="B104" s="38"/>
      <c r="C104" s="38"/>
      <c r="D104" s="39"/>
      <c r="E104" s="40"/>
      <c r="F104" s="173"/>
      <c r="G104" s="174"/>
      <c r="H104" s="174"/>
    </row>
    <row r="105" spans="1:8" ht="17.399999999999999" x14ac:dyDescent="0.3">
      <c r="A105" s="191" t="s">
        <v>70</v>
      </c>
      <c r="B105" s="192"/>
      <c r="C105" s="192"/>
      <c r="D105" s="193"/>
      <c r="E105" s="17"/>
      <c r="F105" s="183" t="s">
        <v>62</v>
      </c>
      <c r="G105" s="184"/>
      <c r="H105" s="185"/>
    </row>
    <row r="106" spans="1:8" x14ac:dyDescent="0.3">
      <c r="A106" s="21" t="s">
        <v>21</v>
      </c>
      <c r="B106" s="22" t="s">
        <v>22</v>
      </c>
      <c r="C106" s="22" t="s">
        <v>23</v>
      </c>
      <c r="D106" s="23" t="s">
        <v>25</v>
      </c>
      <c r="E106" s="41"/>
      <c r="F106" s="186"/>
      <c r="G106" s="187"/>
      <c r="H106" s="188"/>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78" t="s">
        <v>63</v>
      </c>
      <c r="B122" s="179"/>
      <c r="C122" s="179"/>
      <c r="D122" s="96">
        <f>SUM(Fence_20[Amount])</f>
        <v>0</v>
      </c>
      <c r="E122" s="34"/>
      <c r="F122" s="173" t="s">
        <v>33</v>
      </c>
      <c r="G122" s="174"/>
      <c r="H122" s="174"/>
    </row>
    <row r="123" spans="1:8" x14ac:dyDescent="0.3">
      <c r="F123" s="173"/>
      <c r="G123" s="174"/>
      <c r="H123" s="174"/>
    </row>
    <row r="124" spans="1:8" ht="17.399999999999999" x14ac:dyDescent="0.3">
      <c r="A124" s="191" t="s">
        <v>26</v>
      </c>
      <c r="B124" s="192"/>
      <c r="C124" s="192"/>
      <c r="D124" s="193"/>
      <c r="E124" s="17"/>
      <c r="F124" s="183" t="s">
        <v>11</v>
      </c>
      <c r="G124" s="184"/>
      <c r="H124" s="185"/>
    </row>
    <row r="125" spans="1:8" x14ac:dyDescent="0.3">
      <c r="A125" s="21" t="s">
        <v>21</v>
      </c>
      <c r="B125" s="22" t="s">
        <v>22</v>
      </c>
      <c r="C125" s="22" t="s">
        <v>23</v>
      </c>
      <c r="D125" s="23" t="s">
        <v>25</v>
      </c>
      <c r="E125" s="41"/>
      <c r="F125" s="186"/>
      <c r="G125" s="187"/>
      <c r="H125" s="188"/>
    </row>
    <row r="126" spans="1:8" x14ac:dyDescent="0.3">
      <c r="A126" s="100"/>
      <c r="B126" s="101"/>
      <c r="C126" s="101"/>
      <c r="D126" s="112">
        <v>19510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78" t="s">
        <v>27</v>
      </c>
      <c r="B141" s="179"/>
      <c r="C141" s="179"/>
      <c r="D141" s="96">
        <f>SUM(Demolition_20[Amount])</f>
        <v>19510</v>
      </c>
      <c r="E141" s="34"/>
      <c r="F141" s="173" t="s">
        <v>33</v>
      </c>
      <c r="G141" s="174"/>
      <c r="H141" s="174"/>
    </row>
    <row r="142" spans="1:8" x14ac:dyDescent="0.3">
      <c r="A142" s="38"/>
      <c r="B142" s="38"/>
      <c r="C142" s="38"/>
      <c r="D142" s="39"/>
      <c r="E142" s="40"/>
      <c r="F142" s="173"/>
      <c r="G142" s="174"/>
      <c r="H142" s="174"/>
    </row>
    <row r="143" spans="1:8" ht="17.399999999999999" x14ac:dyDescent="0.3">
      <c r="A143" s="191" t="s">
        <v>64</v>
      </c>
      <c r="B143" s="192"/>
      <c r="C143" s="192"/>
      <c r="D143" s="193"/>
      <c r="E143" s="17"/>
      <c r="F143" s="183" t="s">
        <v>44</v>
      </c>
      <c r="G143" s="184"/>
      <c r="H143" s="185"/>
    </row>
    <row r="144" spans="1:8" x14ac:dyDescent="0.3">
      <c r="A144" s="21" t="s">
        <v>21</v>
      </c>
      <c r="B144" s="22" t="s">
        <v>22</v>
      </c>
      <c r="C144" s="22" t="s">
        <v>23</v>
      </c>
      <c r="D144" s="23" t="s">
        <v>25</v>
      </c>
      <c r="E144" s="41"/>
      <c r="F144" s="186"/>
      <c r="G144" s="187"/>
      <c r="H144" s="188"/>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78" t="s">
        <v>65</v>
      </c>
      <c r="B160" s="179"/>
      <c r="C160" s="179"/>
      <c r="D160" s="96">
        <f>SUM(Rehab_20[Amount])</f>
        <v>0</v>
      </c>
      <c r="E160" s="34"/>
      <c r="F160" s="173" t="s">
        <v>33</v>
      </c>
      <c r="G160" s="174"/>
      <c r="H160" s="174"/>
    </row>
    <row r="161" spans="6:8" x14ac:dyDescent="0.3">
      <c r="F161" s="173"/>
      <c r="G161" s="174"/>
      <c r="H161" s="174"/>
    </row>
  </sheetData>
  <sheetProtection algorithmName="SHA-512" hashValue="idDpJMc+iJC8L8B8bA9mHZ5WT3H1QVRrwfJAYD7IRCRdW+SGDkqcz59MbswrsKoi+AZeGAuWiR6n8u9jnDsG4Q==" saltValue="kmAJ7xm2MDNcrqKYU30GGw=="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N161"/>
  <sheetViews>
    <sheetView showGridLines="0" zoomScaleNormal="100" workbookViewId="0">
      <pane ySplit="9" topLeftCell="A115" activePane="bottomLeft" state="frozen"/>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5" t="s">
        <v>24</v>
      </c>
      <c r="B1" s="175"/>
      <c r="C1" s="175"/>
      <c r="D1" s="175"/>
      <c r="E1" s="1"/>
      <c r="F1" s="2"/>
      <c r="G1" s="2"/>
      <c r="H1" s="1"/>
    </row>
    <row r="2" spans="1:14" ht="24.9" customHeight="1" x14ac:dyDescent="0.3">
      <c r="A2" s="176" t="s">
        <v>71</v>
      </c>
      <c r="B2" s="176"/>
      <c r="C2" s="176"/>
      <c r="D2" s="176"/>
      <c r="E2" s="4"/>
      <c r="F2" s="97"/>
      <c r="G2" s="97"/>
      <c r="H2" s="5"/>
    </row>
    <row r="3" spans="1:14" ht="31.5" customHeight="1" x14ac:dyDescent="0.3">
      <c r="A3" s="176"/>
      <c r="B3" s="176"/>
      <c r="C3" s="176"/>
      <c r="D3" s="176"/>
      <c r="E3" s="4"/>
      <c r="F3" s="97"/>
      <c r="G3" s="97"/>
      <c r="H3" s="5"/>
    </row>
    <row r="4" spans="1:14" ht="15" customHeight="1" x14ac:dyDescent="0.25">
      <c r="A4" s="75" t="s">
        <v>19</v>
      </c>
      <c r="B4" s="194" t="str">
        <f>IF('Summary Sheet'!B53="","",'Summary Sheet'!B53)</f>
        <v>1422 S RIDGEWAY AVE</v>
      </c>
      <c r="C4" s="194"/>
      <c r="D4" s="97"/>
      <c r="E4" s="4"/>
      <c r="F4" s="97"/>
      <c r="G4" s="97"/>
      <c r="H4" s="5"/>
    </row>
    <row r="5" spans="1:14" ht="15" customHeight="1" x14ac:dyDescent="0.25">
      <c r="A5" s="75" t="s">
        <v>20</v>
      </c>
      <c r="B5" s="195" t="str">
        <f>IF('Summary Sheet'!C53="","",'Summary Sheet'!C53)</f>
        <v/>
      </c>
      <c r="C5" s="195"/>
      <c r="D5" s="97"/>
      <c r="E5" s="4"/>
      <c r="F5" s="97"/>
      <c r="G5" s="97"/>
      <c r="H5" s="5"/>
    </row>
    <row r="6" spans="1:14" ht="15" customHeight="1" x14ac:dyDescent="0.25">
      <c r="A6" s="75" t="s">
        <v>36</v>
      </c>
      <c r="B6" s="177"/>
      <c r="C6" s="177"/>
      <c r="D6" s="6"/>
      <c r="E6" s="7"/>
    </row>
    <row r="7" spans="1:14" ht="15" customHeight="1" x14ac:dyDescent="0.25">
      <c r="A7" s="7"/>
      <c r="B7" s="196" t="s">
        <v>34</v>
      </c>
      <c r="C7" s="196"/>
      <c r="D7" s="10"/>
    </row>
    <row r="8" spans="1:14" ht="20.100000000000001" customHeight="1" x14ac:dyDescent="0.25">
      <c r="B8" s="11"/>
      <c r="C8" s="11"/>
      <c r="D8" s="12" t="s">
        <v>31</v>
      </c>
      <c r="F8" s="180" t="s">
        <v>32</v>
      </c>
      <c r="G8" s="181"/>
      <c r="H8" s="182"/>
    </row>
    <row r="9" spans="1:14" s="14" customFormat="1" ht="20.100000000000001" customHeight="1" x14ac:dyDescent="0.25">
      <c r="A9" s="197"/>
      <c r="B9" s="197"/>
      <c r="C9" s="197"/>
      <c r="D9" s="13">
        <f>SUM(D27,D46,D65,D84,D103,D122,D141,D160)</f>
        <v>15700</v>
      </c>
      <c r="F9" s="15" t="s">
        <v>28</v>
      </c>
      <c r="G9" s="15" t="s">
        <v>29</v>
      </c>
      <c r="H9" s="15" t="s">
        <v>30</v>
      </c>
      <c r="I9" s="16"/>
      <c r="J9" s="16"/>
      <c r="K9" s="16"/>
      <c r="L9" s="16"/>
      <c r="M9" s="16"/>
      <c r="N9" s="16"/>
    </row>
    <row r="10" spans="1:14" s="17" customFormat="1" ht="23.1" customHeight="1" x14ac:dyDescent="0.3">
      <c r="A10" s="198" t="s">
        <v>51</v>
      </c>
      <c r="B10" s="198"/>
      <c r="C10" s="198"/>
      <c r="D10" s="198"/>
      <c r="F10" s="183" t="s">
        <v>66</v>
      </c>
      <c r="G10" s="184"/>
      <c r="H10" s="185"/>
      <c r="I10" s="18"/>
      <c r="J10" s="18"/>
      <c r="K10" s="18"/>
      <c r="L10" s="18"/>
      <c r="M10" s="19"/>
      <c r="N10" s="20"/>
    </row>
    <row r="11" spans="1:14" s="24" customFormat="1" ht="12.75" customHeight="1" x14ac:dyDescent="0.25">
      <c r="A11" s="21" t="s">
        <v>21</v>
      </c>
      <c r="B11" s="22" t="s">
        <v>22</v>
      </c>
      <c r="C11" s="22" t="s">
        <v>23</v>
      </c>
      <c r="D11" s="23" t="s">
        <v>25</v>
      </c>
      <c r="F11" s="186"/>
      <c r="G11" s="187"/>
      <c r="H11" s="188"/>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78" t="s">
        <v>53</v>
      </c>
      <c r="B27" s="179"/>
      <c r="C27" s="179"/>
      <c r="D27" s="96">
        <f>SUM(Grass_21[Amount])</f>
        <v>0</v>
      </c>
      <c r="F27" s="173" t="s">
        <v>33</v>
      </c>
      <c r="G27" s="174"/>
      <c r="H27" s="174"/>
      <c r="I27" s="35"/>
      <c r="J27" s="35"/>
      <c r="K27" s="35"/>
      <c r="L27" s="35"/>
      <c r="M27" s="36"/>
      <c r="N27" s="37"/>
    </row>
    <row r="28" spans="1:14" s="40" customFormat="1" ht="11.1" customHeight="1" x14ac:dyDescent="0.3">
      <c r="A28" s="38"/>
      <c r="B28" s="38"/>
      <c r="C28" s="38"/>
      <c r="D28" s="39"/>
      <c r="F28" s="173"/>
      <c r="G28" s="174"/>
      <c r="H28" s="174"/>
      <c r="I28" s="35"/>
      <c r="J28" s="35"/>
      <c r="K28" s="35"/>
      <c r="L28" s="35"/>
      <c r="M28" s="36"/>
      <c r="N28" s="37"/>
    </row>
    <row r="29" spans="1:14" s="17" customFormat="1" ht="23.1" customHeight="1" x14ac:dyDescent="0.3">
      <c r="A29" s="191" t="s">
        <v>67</v>
      </c>
      <c r="B29" s="192"/>
      <c r="C29" s="192"/>
      <c r="D29" s="193"/>
      <c r="F29" s="183" t="s">
        <v>52</v>
      </c>
      <c r="G29" s="184"/>
      <c r="H29" s="185"/>
      <c r="I29" s="18"/>
      <c r="J29" s="18"/>
      <c r="K29" s="18"/>
      <c r="L29" s="18"/>
      <c r="M29" s="19"/>
      <c r="N29" s="20"/>
    </row>
    <row r="30" spans="1:14" s="41" customFormat="1" ht="12.75" customHeight="1" x14ac:dyDescent="0.25">
      <c r="A30" s="21" t="s">
        <v>21</v>
      </c>
      <c r="B30" s="22" t="s">
        <v>22</v>
      </c>
      <c r="C30" s="22" t="s">
        <v>23</v>
      </c>
      <c r="D30" s="23" t="s">
        <v>25</v>
      </c>
      <c r="F30" s="186"/>
      <c r="G30" s="187"/>
      <c r="H30" s="188"/>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98"/>
      <c r="J44" s="29"/>
      <c r="K44" s="29"/>
      <c r="L44" s="98"/>
      <c r="M44" s="30"/>
      <c r="N44" s="16"/>
    </row>
    <row r="45" spans="1:14" x14ac:dyDescent="0.3">
      <c r="A45" s="106"/>
      <c r="B45" s="107"/>
      <c r="C45" s="107"/>
      <c r="D45" s="114"/>
      <c r="F45" s="103"/>
      <c r="G45" s="104"/>
      <c r="H45" s="109"/>
      <c r="I45" s="98"/>
      <c r="J45" s="29"/>
      <c r="K45" s="29"/>
      <c r="L45" s="98"/>
      <c r="M45" s="30"/>
      <c r="N45" s="16"/>
    </row>
    <row r="46" spans="1:14" s="34" customFormat="1" x14ac:dyDescent="0.3">
      <c r="A46" s="178" t="s">
        <v>54</v>
      </c>
      <c r="B46" s="179"/>
      <c r="C46" s="179"/>
      <c r="D46" s="96">
        <f>SUM(Tree_21[Amount])</f>
        <v>0</v>
      </c>
      <c r="F46" s="173" t="s">
        <v>33</v>
      </c>
      <c r="G46" s="174"/>
      <c r="H46" s="174"/>
      <c r="I46" s="43"/>
      <c r="J46" s="43"/>
      <c r="K46" s="43"/>
      <c r="L46" s="43"/>
      <c r="M46" s="36"/>
      <c r="N46" s="37"/>
    </row>
    <row r="47" spans="1:14" s="40" customFormat="1" ht="11.1" customHeight="1" x14ac:dyDescent="0.3">
      <c r="A47" s="38"/>
      <c r="B47" s="38"/>
      <c r="C47" s="38"/>
      <c r="D47" s="39"/>
      <c r="F47" s="173"/>
      <c r="G47" s="174"/>
      <c r="H47" s="174"/>
      <c r="I47" s="43"/>
      <c r="J47" s="43"/>
      <c r="K47" s="43"/>
      <c r="L47" s="43"/>
      <c r="M47" s="36"/>
      <c r="N47" s="37"/>
    </row>
    <row r="48" spans="1:14" s="17" customFormat="1" ht="23.1" customHeight="1" x14ac:dyDescent="0.3">
      <c r="A48" s="191" t="s">
        <v>68</v>
      </c>
      <c r="B48" s="192"/>
      <c r="C48" s="192"/>
      <c r="D48" s="193"/>
      <c r="F48" s="183" t="s">
        <v>55</v>
      </c>
      <c r="G48" s="184"/>
      <c r="H48" s="185"/>
      <c r="I48" s="44"/>
      <c r="J48" s="44"/>
      <c r="K48" s="44"/>
      <c r="L48" s="44"/>
      <c r="M48" s="19"/>
      <c r="N48" s="20"/>
    </row>
    <row r="49" spans="1:14" s="41" customFormat="1" ht="12.75" customHeight="1" x14ac:dyDescent="0.25">
      <c r="A49" s="21" t="s">
        <v>21</v>
      </c>
      <c r="B49" s="22" t="s">
        <v>22</v>
      </c>
      <c r="C49" s="22" t="s">
        <v>23</v>
      </c>
      <c r="D49" s="23" t="s">
        <v>25</v>
      </c>
      <c r="F49" s="186"/>
      <c r="G49" s="187"/>
      <c r="H49" s="188"/>
      <c r="I49" s="98"/>
      <c r="J49" s="98"/>
      <c r="K49" s="98"/>
      <c r="L49" s="98"/>
      <c r="M49" s="30"/>
      <c r="N49" s="42"/>
    </row>
    <row r="50" spans="1:14" x14ac:dyDescent="0.3">
      <c r="A50" s="100"/>
      <c r="B50" s="101"/>
      <c r="C50" s="101"/>
      <c r="D50" s="112"/>
      <c r="F50" s="103"/>
      <c r="G50" s="104"/>
      <c r="H50" s="109"/>
      <c r="I50" s="98"/>
      <c r="J50" s="98"/>
      <c r="K50" s="98"/>
      <c r="L50" s="98"/>
      <c r="M50" s="30"/>
      <c r="N50" s="16"/>
    </row>
    <row r="51" spans="1:14" x14ac:dyDescent="0.3">
      <c r="A51" s="106"/>
      <c r="B51" s="107"/>
      <c r="C51" s="107"/>
      <c r="D51" s="113"/>
      <c r="F51" s="103"/>
      <c r="G51" s="104"/>
      <c r="H51" s="109"/>
      <c r="I51" s="98"/>
      <c r="J51" s="98"/>
      <c r="K51" s="98"/>
      <c r="L51" s="98"/>
      <c r="M51" s="30"/>
      <c r="N51" s="16"/>
    </row>
    <row r="52" spans="1:14" x14ac:dyDescent="0.3">
      <c r="A52" s="106"/>
      <c r="B52" s="107"/>
      <c r="C52" s="107"/>
      <c r="D52" s="114"/>
      <c r="F52" s="103"/>
      <c r="H52" s="109"/>
      <c r="I52" s="98"/>
      <c r="J52" s="98"/>
      <c r="K52" s="98"/>
      <c r="L52" s="98"/>
      <c r="M52" s="30"/>
      <c r="N52" s="16"/>
    </row>
    <row r="53" spans="1:14" x14ac:dyDescent="0.3">
      <c r="A53" s="106"/>
      <c r="B53" s="107"/>
      <c r="C53" s="107"/>
      <c r="D53" s="113"/>
      <c r="F53" s="103"/>
      <c r="G53" s="104"/>
      <c r="H53" s="109"/>
      <c r="I53" s="98"/>
      <c r="J53" s="98"/>
      <c r="K53" s="98"/>
      <c r="L53" s="98"/>
      <c r="M53" s="30"/>
      <c r="N53" s="16"/>
    </row>
    <row r="54" spans="1:14" x14ac:dyDescent="0.3">
      <c r="A54" s="106"/>
      <c r="B54" s="107"/>
      <c r="C54" s="107"/>
      <c r="D54" s="114"/>
      <c r="F54" s="103"/>
      <c r="G54" s="104"/>
      <c r="H54" s="109"/>
      <c r="I54" s="98"/>
      <c r="J54" s="98"/>
      <c r="K54" s="98"/>
      <c r="L54" s="98"/>
      <c r="M54" s="30"/>
      <c r="N54" s="16"/>
    </row>
    <row r="55" spans="1:14" x14ac:dyDescent="0.3">
      <c r="A55" s="106"/>
      <c r="B55" s="107"/>
      <c r="C55" s="107"/>
      <c r="D55" s="113"/>
      <c r="F55" s="103"/>
      <c r="G55" s="104"/>
      <c r="H55" s="109"/>
      <c r="I55" s="98"/>
      <c r="J55" s="98"/>
      <c r="K55" s="98"/>
      <c r="L55" s="98"/>
      <c r="M55" s="30"/>
      <c r="N55" s="16"/>
    </row>
    <row r="56" spans="1:14" x14ac:dyDescent="0.3">
      <c r="A56" s="106"/>
      <c r="B56" s="107"/>
      <c r="C56" s="107"/>
      <c r="D56" s="114"/>
      <c r="F56" s="103"/>
      <c r="G56" s="104"/>
      <c r="H56" s="109"/>
      <c r="I56" s="98"/>
      <c r="J56" s="98"/>
      <c r="K56" s="98"/>
      <c r="L56" s="98"/>
      <c r="M56" s="30"/>
      <c r="N56" s="16"/>
    </row>
    <row r="57" spans="1:14" x14ac:dyDescent="0.3">
      <c r="A57" s="106"/>
      <c r="B57" s="107"/>
      <c r="C57" s="107"/>
      <c r="D57" s="113"/>
      <c r="F57" s="103"/>
      <c r="G57" s="104"/>
      <c r="H57" s="109"/>
      <c r="I57" s="98"/>
      <c r="J57" s="98"/>
      <c r="K57" s="98"/>
      <c r="L57" s="98"/>
      <c r="M57" s="30"/>
      <c r="N57" s="16"/>
    </row>
    <row r="58" spans="1:14" x14ac:dyDescent="0.3">
      <c r="A58" s="106"/>
      <c r="B58" s="107"/>
      <c r="C58" s="107"/>
      <c r="D58" s="114"/>
      <c r="F58" s="103"/>
      <c r="G58" s="104"/>
      <c r="H58" s="109"/>
      <c r="I58" s="98"/>
      <c r="J58" s="98"/>
      <c r="K58" s="98"/>
      <c r="L58" s="98"/>
      <c r="M58" s="30"/>
      <c r="N58" s="16"/>
    </row>
    <row r="59" spans="1:14" x14ac:dyDescent="0.3">
      <c r="A59" s="106"/>
      <c r="B59" s="107"/>
      <c r="C59" s="107"/>
      <c r="D59" s="113"/>
      <c r="F59" s="103"/>
      <c r="G59" s="104"/>
      <c r="H59" s="109"/>
      <c r="I59" s="98"/>
      <c r="J59" s="190"/>
      <c r="K59" s="190"/>
      <c r="L59" s="98"/>
      <c r="M59" s="30"/>
      <c r="N59" s="16"/>
    </row>
    <row r="60" spans="1:14" x14ac:dyDescent="0.3">
      <c r="A60" s="106"/>
      <c r="B60" s="107"/>
      <c r="C60" s="107"/>
      <c r="D60" s="114"/>
      <c r="F60" s="103"/>
      <c r="G60" s="104"/>
      <c r="H60" s="109"/>
      <c r="I60" s="189"/>
      <c r="J60" s="189"/>
      <c r="K60" s="189"/>
      <c r="L60" s="189"/>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78" t="s">
        <v>56</v>
      </c>
      <c r="B65" s="179"/>
      <c r="C65" s="179"/>
      <c r="D65" s="96">
        <f>SUM(Pest_21[Amount])</f>
        <v>0</v>
      </c>
      <c r="F65" s="173" t="s">
        <v>33</v>
      </c>
      <c r="G65" s="174"/>
      <c r="H65" s="174"/>
    </row>
    <row r="66" spans="1:8" x14ac:dyDescent="0.3">
      <c r="F66" s="173"/>
      <c r="G66" s="174"/>
      <c r="H66" s="174"/>
    </row>
    <row r="67" spans="1:8" ht="17.399999999999999" x14ac:dyDescent="0.3">
      <c r="A67" s="198" t="s">
        <v>69</v>
      </c>
      <c r="B67" s="198"/>
      <c r="C67" s="198"/>
      <c r="D67" s="198"/>
      <c r="E67" s="17"/>
      <c r="F67" s="183" t="s">
        <v>57</v>
      </c>
      <c r="G67" s="184"/>
      <c r="H67" s="185"/>
    </row>
    <row r="68" spans="1:8" x14ac:dyDescent="0.3">
      <c r="A68" s="21" t="s">
        <v>21</v>
      </c>
      <c r="B68" s="22" t="s">
        <v>22</v>
      </c>
      <c r="C68" s="22" t="s">
        <v>23</v>
      </c>
      <c r="D68" s="23" t="s">
        <v>25</v>
      </c>
      <c r="E68" s="24"/>
      <c r="F68" s="186"/>
      <c r="G68" s="187"/>
      <c r="H68" s="188"/>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78" t="s">
        <v>58</v>
      </c>
      <c r="B84" s="179"/>
      <c r="C84" s="179"/>
      <c r="D84" s="96">
        <f>SUM(Garbage_21[Amount])</f>
        <v>0</v>
      </c>
      <c r="E84" s="34"/>
      <c r="F84" s="173" t="s">
        <v>33</v>
      </c>
      <c r="G84" s="174"/>
      <c r="H84" s="174"/>
    </row>
    <row r="85" spans="1:8" x14ac:dyDescent="0.3">
      <c r="A85" s="38"/>
      <c r="B85" s="38"/>
      <c r="C85" s="38"/>
      <c r="D85" s="39"/>
      <c r="E85" s="40"/>
      <c r="F85" s="173"/>
      <c r="G85" s="174"/>
      <c r="H85" s="174"/>
    </row>
    <row r="86" spans="1:8" ht="17.399999999999999" x14ac:dyDescent="0.3">
      <c r="A86" s="191" t="s">
        <v>59</v>
      </c>
      <c r="B86" s="192"/>
      <c r="C86" s="192"/>
      <c r="D86" s="193"/>
      <c r="E86" s="17"/>
      <c r="F86" s="183" t="s">
        <v>60</v>
      </c>
      <c r="G86" s="184"/>
      <c r="H86" s="185"/>
    </row>
    <row r="87" spans="1:8" x14ac:dyDescent="0.3">
      <c r="A87" s="21" t="s">
        <v>21</v>
      </c>
      <c r="B87" s="22" t="s">
        <v>22</v>
      </c>
      <c r="C87" s="22" t="s">
        <v>23</v>
      </c>
      <c r="D87" s="23" t="s">
        <v>25</v>
      </c>
      <c r="E87" s="41"/>
      <c r="F87" s="186"/>
      <c r="G87" s="187"/>
      <c r="H87" s="188"/>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78" t="s">
        <v>61</v>
      </c>
      <c r="B103" s="179"/>
      <c r="C103" s="179"/>
      <c r="D103" s="96">
        <f>SUM(Boarding_21[Amount])</f>
        <v>0</v>
      </c>
      <c r="E103" s="34"/>
      <c r="F103" s="173" t="s">
        <v>33</v>
      </c>
      <c r="G103" s="174"/>
      <c r="H103" s="174"/>
    </row>
    <row r="104" spans="1:8" x14ac:dyDescent="0.3">
      <c r="A104" s="38"/>
      <c r="B104" s="38"/>
      <c r="C104" s="38"/>
      <c r="D104" s="39"/>
      <c r="E104" s="40"/>
      <c r="F104" s="173"/>
      <c r="G104" s="174"/>
      <c r="H104" s="174"/>
    </row>
    <row r="105" spans="1:8" ht="17.399999999999999" x14ac:dyDescent="0.3">
      <c r="A105" s="191" t="s">
        <v>70</v>
      </c>
      <c r="B105" s="192"/>
      <c r="C105" s="192"/>
      <c r="D105" s="193"/>
      <c r="E105" s="17"/>
      <c r="F105" s="183" t="s">
        <v>62</v>
      </c>
      <c r="G105" s="184"/>
      <c r="H105" s="185"/>
    </row>
    <row r="106" spans="1:8" x14ac:dyDescent="0.3">
      <c r="A106" s="21" t="s">
        <v>21</v>
      </c>
      <c r="B106" s="22" t="s">
        <v>22</v>
      </c>
      <c r="C106" s="22" t="s">
        <v>23</v>
      </c>
      <c r="D106" s="23" t="s">
        <v>25</v>
      </c>
      <c r="E106" s="41"/>
      <c r="F106" s="186"/>
      <c r="G106" s="187"/>
      <c r="H106" s="188"/>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78" t="s">
        <v>63</v>
      </c>
      <c r="B122" s="179"/>
      <c r="C122" s="179"/>
      <c r="D122" s="96">
        <f>SUM(Fence_21[Amount])</f>
        <v>0</v>
      </c>
      <c r="E122" s="34"/>
      <c r="F122" s="173" t="s">
        <v>33</v>
      </c>
      <c r="G122" s="174"/>
      <c r="H122" s="174"/>
    </row>
    <row r="123" spans="1:8" x14ac:dyDescent="0.3">
      <c r="F123" s="173"/>
      <c r="G123" s="174"/>
      <c r="H123" s="174"/>
    </row>
    <row r="124" spans="1:8" ht="17.399999999999999" x14ac:dyDescent="0.3">
      <c r="A124" s="191" t="s">
        <v>26</v>
      </c>
      <c r="B124" s="192"/>
      <c r="C124" s="192"/>
      <c r="D124" s="193"/>
      <c r="E124" s="17"/>
      <c r="F124" s="183" t="s">
        <v>11</v>
      </c>
      <c r="G124" s="184"/>
      <c r="H124" s="185"/>
    </row>
    <row r="125" spans="1:8" x14ac:dyDescent="0.3">
      <c r="A125" s="21" t="s">
        <v>21</v>
      </c>
      <c r="B125" s="22" t="s">
        <v>22</v>
      </c>
      <c r="C125" s="22" t="s">
        <v>23</v>
      </c>
      <c r="D125" s="23" t="s">
        <v>25</v>
      </c>
      <c r="E125" s="41"/>
      <c r="F125" s="186"/>
      <c r="G125" s="187"/>
      <c r="H125" s="188"/>
    </row>
    <row r="126" spans="1:8" x14ac:dyDescent="0.3">
      <c r="A126" s="100"/>
      <c r="B126" s="101"/>
      <c r="C126" s="101"/>
      <c r="D126" s="112">
        <v>15700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78" t="s">
        <v>27</v>
      </c>
      <c r="B141" s="179"/>
      <c r="C141" s="179"/>
      <c r="D141" s="96">
        <f>SUM(Demolition_21[Amount])</f>
        <v>15700</v>
      </c>
      <c r="E141" s="34"/>
      <c r="F141" s="173" t="s">
        <v>33</v>
      </c>
      <c r="G141" s="174"/>
      <c r="H141" s="174"/>
    </row>
    <row r="142" spans="1:8" x14ac:dyDescent="0.3">
      <c r="A142" s="38"/>
      <c r="B142" s="38"/>
      <c r="C142" s="38"/>
      <c r="D142" s="39"/>
      <c r="E142" s="40"/>
      <c r="F142" s="173"/>
      <c r="G142" s="174"/>
      <c r="H142" s="174"/>
    </row>
    <row r="143" spans="1:8" ht="17.399999999999999" x14ac:dyDescent="0.3">
      <c r="A143" s="191" t="s">
        <v>64</v>
      </c>
      <c r="B143" s="192"/>
      <c r="C143" s="192"/>
      <c r="D143" s="193"/>
      <c r="E143" s="17"/>
      <c r="F143" s="183" t="s">
        <v>44</v>
      </c>
      <c r="G143" s="184"/>
      <c r="H143" s="185"/>
    </row>
    <row r="144" spans="1:8" x14ac:dyDescent="0.3">
      <c r="A144" s="21" t="s">
        <v>21</v>
      </c>
      <c r="B144" s="22" t="s">
        <v>22</v>
      </c>
      <c r="C144" s="22" t="s">
        <v>23</v>
      </c>
      <c r="D144" s="23" t="s">
        <v>25</v>
      </c>
      <c r="E144" s="41"/>
      <c r="F144" s="186"/>
      <c r="G144" s="187"/>
      <c r="H144" s="188"/>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78" t="s">
        <v>65</v>
      </c>
      <c r="B160" s="179"/>
      <c r="C160" s="179"/>
      <c r="D160" s="96">
        <f>SUM(Rehab_21[Amount])</f>
        <v>0</v>
      </c>
      <c r="E160" s="34"/>
      <c r="F160" s="173" t="s">
        <v>33</v>
      </c>
      <c r="G160" s="174"/>
      <c r="H160" s="174"/>
    </row>
    <row r="161" spans="6:8" x14ac:dyDescent="0.3">
      <c r="F161" s="173"/>
      <c r="G161" s="174"/>
      <c r="H161" s="174"/>
    </row>
  </sheetData>
  <sheetProtection algorithmName="SHA-512" hashValue="oDRrIbLi/cv36p/gKGZzr/d3CYMFu8Ygp9dKIg5+q+lJMVjGuoW86iHZ4awUaqDqdUoc9SpT3VK01AOWK1x8NQ==" saltValue="AMM2NAge6vdnaBF1Fk8vYg=="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N161"/>
  <sheetViews>
    <sheetView showGridLines="0" zoomScaleNormal="100" workbookViewId="0">
      <pane ySplit="9" topLeftCell="A118" activePane="bottomLeft" state="frozen"/>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5" t="s">
        <v>24</v>
      </c>
      <c r="B1" s="175"/>
      <c r="C1" s="175"/>
      <c r="D1" s="175"/>
      <c r="E1" s="1"/>
      <c r="F1" s="2"/>
      <c r="G1" s="2"/>
      <c r="H1" s="1"/>
    </row>
    <row r="2" spans="1:14" ht="24.9" customHeight="1" x14ac:dyDescent="0.3">
      <c r="A2" s="176" t="s">
        <v>71</v>
      </c>
      <c r="B2" s="176"/>
      <c r="C2" s="176"/>
      <c r="D2" s="176"/>
      <c r="E2" s="4"/>
      <c r="F2" s="97"/>
      <c r="G2" s="97"/>
      <c r="H2" s="5"/>
    </row>
    <row r="3" spans="1:14" ht="31.5" customHeight="1" x14ac:dyDescent="0.3">
      <c r="A3" s="176"/>
      <c r="B3" s="176"/>
      <c r="C3" s="176"/>
      <c r="D3" s="176"/>
      <c r="E3" s="4"/>
      <c r="F3" s="97"/>
      <c r="G3" s="97"/>
      <c r="H3" s="5"/>
    </row>
    <row r="4" spans="1:14" ht="15" customHeight="1" x14ac:dyDescent="0.25">
      <c r="A4" s="75" t="s">
        <v>19</v>
      </c>
      <c r="B4" s="194" t="str">
        <f>IF('Summary Sheet'!B54="","",'Summary Sheet'!B54)</f>
        <v>1426 W 73RD PL</v>
      </c>
      <c r="C4" s="194"/>
      <c r="D4" s="97"/>
      <c r="E4" s="4"/>
      <c r="F4" s="97"/>
      <c r="G4" s="97"/>
      <c r="H4" s="5"/>
    </row>
    <row r="5" spans="1:14" ht="15" customHeight="1" x14ac:dyDescent="0.25">
      <c r="A5" s="75" t="s">
        <v>20</v>
      </c>
      <c r="B5" s="195" t="str">
        <f>IF('Summary Sheet'!C54="","",'Summary Sheet'!C54)</f>
        <v/>
      </c>
      <c r="C5" s="195"/>
      <c r="D5" s="97"/>
      <c r="E5" s="4"/>
      <c r="F5" s="97"/>
      <c r="G5" s="97"/>
      <c r="H5" s="5"/>
    </row>
    <row r="6" spans="1:14" ht="15" customHeight="1" x14ac:dyDescent="0.25">
      <c r="A6" s="75" t="s">
        <v>36</v>
      </c>
      <c r="B6" s="177"/>
      <c r="C6" s="177"/>
      <c r="D6" s="6"/>
      <c r="E6" s="7"/>
    </row>
    <row r="7" spans="1:14" ht="15" customHeight="1" x14ac:dyDescent="0.25">
      <c r="A7" s="7"/>
      <c r="B7" s="196" t="s">
        <v>34</v>
      </c>
      <c r="C7" s="196"/>
      <c r="D7" s="10"/>
    </row>
    <row r="8" spans="1:14" ht="20.100000000000001" customHeight="1" x14ac:dyDescent="0.25">
      <c r="B8" s="11"/>
      <c r="C8" s="11"/>
      <c r="D8" s="12" t="s">
        <v>31</v>
      </c>
      <c r="F8" s="180" t="s">
        <v>32</v>
      </c>
      <c r="G8" s="181"/>
      <c r="H8" s="182"/>
    </row>
    <row r="9" spans="1:14" s="14" customFormat="1" ht="20.100000000000001" customHeight="1" x14ac:dyDescent="0.25">
      <c r="A9" s="197"/>
      <c r="B9" s="197"/>
      <c r="C9" s="197"/>
      <c r="D9" s="13">
        <f>SUM(D27,D46,D65,D84,D103,D122,D141,D160)</f>
        <v>20410</v>
      </c>
      <c r="F9" s="15" t="s">
        <v>28</v>
      </c>
      <c r="G9" s="15" t="s">
        <v>29</v>
      </c>
      <c r="H9" s="15" t="s">
        <v>30</v>
      </c>
      <c r="I9" s="16"/>
      <c r="J9" s="16"/>
      <c r="K9" s="16"/>
      <c r="L9" s="16"/>
      <c r="M9" s="16"/>
      <c r="N9" s="16"/>
    </row>
    <row r="10" spans="1:14" s="17" customFormat="1" ht="23.1" customHeight="1" x14ac:dyDescent="0.3">
      <c r="A10" s="198" t="s">
        <v>51</v>
      </c>
      <c r="B10" s="198"/>
      <c r="C10" s="198"/>
      <c r="D10" s="198"/>
      <c r="F10" s="183" t="s">
        <v>66</v>
      </c>
      <c r="G10" s="184"/>
      <c r="H10" s="185"/>
      <c r="I10" s="18"/>
      <c r="J10" s="18"/>
      <c r="K10" s="18"/>
      <c r="L10" s="18"/>
      <c r="M10" s="19"/>
      <c r="N10" s="20"/>
    </row>
    <row r="11" spans="1:14" s="24" customFormat="1" ht="12.75" customHeight="1" x14ac:dyDescent="0.25">
      <c r="A11" s="21" t="s">
        <v>21</v>
      </c>
      <c r="B11" s="22" t="s">
        <v>22</v>
      </c>
      <c r="C11" s="22" t="s">
        <v>23</v>
      </c>
      <c r="D11" s="23" t="s">
        <v>25</v>
      </c>
      <c r="F11" s="186"/>
      <c r="G11" s="187"/>
      <c r="H11" s="188"/>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78" t="s">
        <v>53</v>
      </c>
      <c r="B27" s="179"/>
      <c r="C27" s="179"/>
      <c r="D27" s="96">
        <f>SUM(Grass_22[Amount])</f>
        <v>0</v>
      </c>
      <c r="F27" s="173" t="s">
        <v>33</v>
      </c>
      <c r="G27" s="174"/>
      <c r="H27" s="174"/>
      <c r="I27" s="35"/>
      <c r="J27" s="35"/>
      <c r="K27" s="35"/>
      <c r="L27" s="35"/>
      <c r="M27" s="36"/>
      <c r="N27" s="37"/>
    </row>
    <row r="28" spans="1:14" s="40" customFormat="1" ht="11.1" customHeight="1" x14ac:dyDescent="0.3">
      <c r="A28" s="38"/>
      <c r="B28" s="38"/>
      <c r="C28" s="38"/>
      <c r="D28" s="39"/>
      <c r="F28" s="173"/>
      <c r="G28" s="174"/>
      <c r="H28" s="174"/>
      <c r="I28" s="35"/>
      <c r="J28" s="35"/>
      <c r="K28" s="35"/>
      <c r="L28" s="35"/>
      <c r="M28" s="36"/>
      <c r="N28" s="37"/>
    </row>
    <row r="29" spans="1:14" s="17" customFormat="1" ht="23.1" customHeight="1" x14ac:dyDescent="0.3">
      <c r="A29" s="191" t="s">
        <v>67</v>
      </c>
      <c r="B29" s="192"/>
      <c r="C29" s="192"/>
      <c r="D29" s="193"/>
      <c r="F29" s="183" t="s">
        <v>52</v>
      </c>
      <c r="G29" s="184"/>
      <c r="H29" s="185"/>
      <c r="I29" s="18"/>
      <c r="J29" s="18"/>
      <c r="K29" s="18"/>
      <c r="L29" s="18"/>
      <c r="M29" s="19"/>
      <c r="N29" s="20"/>
    </row>
    <row r="30" spans="1:14" s="41" customFormat="1" ht="12.75" customHeight="1" x14ac:dyDescent="0.25">
      <c r="A30" s="21" t="s">
        <v>21</v>
      </c>
      <c r="B30" s="22" t="s">
        <v>22</v>
      </c>
      <c r="C30" s="22" t="s">
        <v>23</v>
      </c>
      <c r="D30" s="23" t="s">
        <v>25</v>
      </c>
      <c r="F30" s="186"/>
      <c r="G30" s="187"/>
      <c r="H30" s="188"/>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98"/>
      <c r="J44" s="29"/>
      <c r="K44" s="29"/>
      <c r="L44" s="98"/>
      <c r="M44" s="30"/>
      <c r="N44" s="16"/>
    </row>
    <row r="45" spans="1:14" x14ac:dyDescent="0.3">
      <c r="A45" s="106"/>
      <c r="B45" s="107"/>
      <c r="C45" s="107"/>
      <c r="D45" s="114"/>
      <c r="F45" s="103"/>
      <c r="G45" s="104"/>
      <c r="H45" s="109"/>
      <c r="I45" s="98"/>
      <c r="J45" s="29"/>
      <c r="K45" s="29"/>
      <c r="L45" s="98"/>
      <c r="M45" s="30"/>
      <c r="N45" s="16"/>
    </row>
    <row r="46" spans="1:14" s="34" customFormat="1" x14ac:dyDescent="0.3">
      <c r="A46" s="178" t="s">
        <v>54</v>
      </c>
      <c r="B46" s="179"/>
      <c r="C46" s="179"/>
      <c r="D46" s="96">
        <f>SUM(Tree_22[Amount])</f>
        <v>0</v>
      </c>
      <c r="F46" s="173" t="s">
        <v>33</v>
      </c>
      <c r="G46" s="174"/>
      <c r="H46" s="174"/>
      <c r="I46" s="43"/>
      <c r="J46" s="43"/>
      <c r="K46" s="43"/>
      <c r="L46" s="43"/>
      <c r="M46" s="36"/>
      <c r="N46" s="37"/>
    </row>
    <row r="47" spans="1:14" s="40" customFormat="1" ht="11.1" customHeight="1" x14ac:dyDescent="0.3">
      <c r="A47" s="38"/>
      <c r="B47" s="38"/>
      <c r="C47" s="38"/>
      <c r="D47" s="39"/>
      <c r="F47" s="173"/>
      <c r="G47" s="174"/>
      <c r="H47" s="174"/>
      <c r="I47" s="43"/>
      <c r="J47" s="43"/>
      <c r="K47" s="43"/>
      <c r="L47" s="43"/>
      <c r="M47" s="36"/>
      <c r="N47" s="37"/>
    </row>
    <row r="48" spans="1:14" s="17" customFormat="1" ht="23.1" customHeight="1" x14ac:dyDescent="0.3">
      <c r="A48" s="191" t="s">
        <v>68</v>
      </c>
      <c r="B48" s="192"/>
      <c r="C48" s="192"/>
      <c r="D48" s="193"/>
      <c r="F48" s="183" t="s">
        <v>55</v>
      </c>
      <c r="G48" s="184"/>
      <c r="H48" s="185"/>
      <c r="I48" s="44"/>
      <c r="J48" s="44"/>
      <c r="K48" s="44"/>
      <c r="L48" s="44"/>
      <c r="M48" s="19"/>
      <c r="N48" s="20"/>
    </row>
    <row r="49" spans="1:14" s="41" customFormat="1" ht="12.75" customHeight="1" x14ac:dyDescent="0.25">
      <c r="A49" s="21" t="s">
        <v>21</v>
      </c>
      <c r="B49" s="22" t="s">
        <v>22</v>
      </c>
      <c r="C49" s="22" t="s">
        <v>23</v>
      </c>
      <c r="D49" s="23" t="s">
        <v>25</v>
      </c>
      <c r="F49" s="186"/>
      <c r="G49" s="187"/>
      <c r="H49" s="188"/>
      <c r="I49" s="98"/>
      <c r="J49" s="98"/>
      <c r="K49" s="98"/>
      <c r="L49" s="98"/>
      <c r="M49" s="30"/>
      <c r="N49" s="42"/>
    </row>
    <row r="50" spans="1:14" x14ac:dyDescent="0.3">
      <c r="A50" s="100"/>
      <c r="B50" s="101"/>
      <c r="C50" s="101"/>
      <c r="D50" s="112"/>
      <c r="F50" s="103"/>
      <c r="G50" s="104"/>
      <c r="H50" s="109"/>
      <c r="I50" s="98"/>
      <c r="J50" s="98"/>
      <c r="K50" s="98"/>
      <c r="L50" s="98"/>
      <c r="M50" s="30"/>
      <c r="N50" s="16"/>
    </row>
    <row r="51" spans="1:14" x14ac:dyDescent="0.3">
      <c r="A51" s="106"/>
      <c r="B51" s="107"/>
      <c r="C51" s="107"/>
      <c r="D51" s="113"/>
      <c r="F51" s="103"/>
      <c r="G51" s="104"/>
      <c r="H51" s="109"/>
      <c r="I51" s="98"/>
      <c r="J51" s="98"/>
      <c r="K51" s="98"/>
      <c r="L51" s="98"/>
      <c r="M51" s="30"/>
      <c r="N51" s="16"/>
    </row>
    <row r="52" spans="1:14" x14ac:dyDescent="0.3">
      <c r="A52" s="106"/>
      <c r="B52" s="107"/>
      <c r="C52" s="107"/>
      <c r="D52" s="114"/>
      <c r="F52" s="103"/>
      <c r="H52" s="109"/>
      <c r="I52" s="98"/>
      <c r="J52" s="98"/>
      <c r="K52" s="98"/>
      <c r="L52" s="98"/>
      <c r="M52" s="30"/>
      <c r="N52" s="16"/>
    </row>
    <row r="53" spans="1:14" x14ac:dyDescent="0.3">
      <c r="A53" s="106"/>
      <c r="B53" s="107"/>
      <c r="C53" s="107"/>
      <c r="D53" s="113"/>
      <c r="F53" s="103"/>
      <c r="G53" s="104"/>
      <c r="H53" s="109"/>
      <c r="I53" s="98"/>
      <c r="J53" s="98"/>
      <c r="K53" s="98"/>
      <c r="L53" s="98"/>
      <c r="M53" s="30"/>
      <c r="N53" s="16"/>
    </row>
    <row r="54" spans="1:14" x14ac:dyDescent="0.3">
      <c r="A54" s="106"/>
      <c r="B54" s="107"/>
      <c r="C54" s="107"/>
      <c r="D54" s="114"/>
      <c r="F54" s="103"/>
      <c r="G54" s="104"/>
      <c r="H54" s="109"/>
      <c r="I54" s="98"/>
      <c r="J54" s="98"/>
      <c r="K54" s="98"/>
      <c r="L54" s="98"/>
      <c r="M54" s="30"/>
      <c r="N54" s="16"/>
    </row>
    <row r="55" spans="1:14" x14ac:dyDescent="0.3">
      <c r="A55" s="106"/>
      <c r="B55" s="107"/>
      <c r="C55" s="107"/>
      <c r="D55" s="113"/>
      <c r="F55" s="103"/>
      <c r="G55" s="104"/>
      <c r="H55" s="109"/>
      <c r="I55" s="98"/>
      <c r="J55" s="98"/>
      <c r="K55" s="98"/>
      <c r="L55" s="98"/>
      <c r="M55" s="30"/>
      <c r="N55" s="16"/>
    </row>
    <row r="56" spans="1:14" x14ac:dyDescent="0.3">
      <c r="A56" s="106"/>
      <c r="B56" s="107"/>
      <c r="C56" s="107"/>
      <c r="D56" s="114"/>
      <c r="F56" s="103"/>
      <c r="G56" s="104"/>
      <c r="H56" s="109"/>
      <c r="I56" s="98"/>
      <c r="J56" s="98"/>
      <c r="K56" s="98"/>
      <c r="L56" s="98"/>
      <c r="M56" s="30"/>
      <c r="N56" s="16"/>
    </row>
    <row r="57" spans="1:14" x14ac:dyDescent="0.3">
      <c r="A57" s="106"/>
      <c r="B57" s="107"/>
      <c r="C57" s="107"/>
      <c r="D57" s="113"/>
      <c r="F57" s="103"/>
      <c r="G57" s="104"/>
      <c r="H57" s="109"/>
      <c r="I57" s="98"/>
      <c r="J57" s="98"/>
      <c r="K57" s="98"/>
      <c r="L57" s="98"/>
      <c r="M57" s="30"/>
      <c r="N57" s="16"/>
    </row>
    <row r="58" spans="1:14" x14ac:dyDescent="0.3">
      <c r="A58" s="106"/>
      <c r="B58" s="107"/>
      <c r="C58" s="107"/>
      <c r="D58" s="114"/>
      <c r="F58" s="103"/>
      <c r="G58" s="104"/>
      <c r="H58" s="109"/>
      <c r="I58" s="98"/>
      <c r="J58" s="98"/>
      <c r="K58" s="98"/>
      <c r="L58" s="98"/>
      <c r="M58" s="30"/>
      <c r="N58" s="16"/>
    </row>
    <row r="59" spans="1:14" x14ac:dyDescent="0.3">
      <c r="A59" s="106"/>
      <c r="B59" s="107"/>
      <c r="C59" s="107"/>
      <c r="D59" s="113"/>
      <c r="F59" s="103"/>
      <c r="G59" s="104"/>
      <c r="H59" s="109"/>
      <c r="I59" s="98"/>
      <c r="J59" s="190"/>
      <c r="K59" s="190"/>
      <c r="L59" s="98"/>
      <c r="M59" s="30"/>
      <c r="N59" s="16"/>
    </row>
    <row r="60" spans="1:14" x14ac:dyDescent="0.3">
      <c r="A60" s="106"/>
      <c r="B60" s="107"/>
      <c r="C60" s="107"/>
      <c r="D60" s="114"/>
      <c r="F60" s="103"/>
      <c r="G60" s="104"/>
      <c r="H60" s="109"/>
      <c r="I60" s="189"/>
      <c r="J60" s="189"/>
      <c r="K60" s="189"/>
      <c r="L60" s="189"/>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78" t="s">
        <v>56</v>
      </c>
      <c r="B65" s="179"/>
      <c r="C65" s="179"/>
      <c r="D65" s="96">
        <f>SUM(Pest_22[Amount])</f>
        <v>0</v>
      </c>
      <c r="F65" s="173" t="s">
        <v>33</v>
      </c>
      <c r="G65" s="174"/>
      <c r="H65" s="174"/>
    </row>
    <row r="66" spans="1:8" x14ac:dyDescent="0.3">
      <c r="F66" s="173"/>
      <c r="G66" s="174"/>
      <c r="H66" s="174"/>
    </row>
    <row r="67" spans="1:8" ht="17.399999999999999" x14ac:dyDescent="0.3">
      <c r="A67" s="198" t="s">
        <v>69</v>
      </c>
      <c r="B67" s="198"/>
      <c r="C67" s="198"/>
      <c r="D67" s="198"/>
      <c r="E67" s="17"/>
      <c r="F67" s="183" t="s">
        <v>57</v>
      </c>
      <c r="G67" s="184"/>
      <c r="H67" s="185"/>
    </row>
    <row r="68" spans="1:8" x14ac:dyDescent="0.3">
      <c r="A68" s="21" t="s">
        <v>21</v>
      </c>
      <c r="B68" s="22" t="s">
        <v>22</v>
      </c>
      <c r="C68" s="22" t="s">
        <v>23</v>
      </c>
      <c r="D68" s="23" t="s">
        <v>25</v>
      </c>
      <c r="E68" s="24"/>
      <c r="F68" s="186"/>
      <c r="G68" s="187"/>
      <c r="H68" s="188"/>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78" t="s">
        <v>58</v>
      </c>
      <c r="B84" s="179"/>
      <c r="C84" s="179"/>
      <c r="D84" s="96">
        <f>SUM(Garbage_22[Amount])</f>
        <v>0</v>
      </c>
      <c r="E84" s="34"/>
      <c r="F84" s="173" t="s">
        <v>33</v>
      </c>
      <c r="G84" s="174"/>
      <c r="H84" s="174"/>
    </row>
    <row r="85" spans="1:8" x14ac:dyDescent="0.3">
      <c r="A85" s="38"/>
      <c r="B85" s="38"/>
      <c r="C85" s="38"/>
      <c r="D85" s="39"/>
      <c r="E85" s="40"/>
      <c r="F85" s="173"/>
      <c r="G85" s="174"/>
      <c r="H85" s="174"/>
    </row>
    <row r="86" spans="1:8" ht="17.399999999999999" x14ac:dyDescent="0.3">
      <c r="A86" s="191" t="s">
        <v>59</v>
      </c>
      <c r="B86" s="192"/>
      <c r="C86" s="192"/>
      <c r="D86" s="193"/>
      <c r="E86" s="17"/>
      <c r="F86" s="183" t="s">
        <v>60</v>
      </c>
      <c r="G86" s="184"/>
      <c r="H86" s="185"/>
    </row>
    <row r="87" spans="1:8" x14ac:dyDescent="0.3">
      <c r="A87" s="21" t="s">
        <v>21</v>
      </c>
      <c r="B87" s="22" t="s">
        <v>22</v>
      </c>
      <c r="C87" s="22" t="s">
        <v>23</v>
      </c>
      <c r="D87" s="23" t="s">
        <v>25</v>
      </c>
      <c r="E87" s="41"/>
      <c r="F87" s="186"/>
      <c r="G87" s="187"/>
      <c r="H87" s="188"/>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78" t="s">
        <v>61</v>
      </c>
      <c r="B103" s="179"/>
      <c r="C103" s="179"/>
      <c r="D103" s="96">
        <f>SUM(Boarding_22[Amount])</f>
        <v>0</v>
      </c>
      <c r="E103" s="34"/>
      <c r="F103" s="173" t="s">
        <v>33</v>
      </c>
      <c r="G103" s="174"/>
      <c r="H103" s="174"/>
    </row>
    <row r="104" spans="1:8" x14ac:dyDescent="0.3">
      <c r="A104" s="38"/>
      <c r="B104" s="38"/>
      <c r="C104" s="38"/>
      <c r="D104" s="39"/>
      <c r="E104" s="40"/>
      <c r="F104" s="173"/>
      <c r="G104" s="174"/>
      <c r="H104" s="174"/>
    </row>
    <row r="105" spans="1:8" ht="17.399999999999999" x14ac:dyDescent="0.3">
      <c r="A105" s="191" t="s">
        <v>70</v>
      </c>
      <c r="B105" s="192"/>
      <c r="C105" s="192"/>
      <c r="D105" s="193"/>
      <c r="E105" s="17"/>
      <c r="F105" s="183" t="s">
        <v>62</v>
      </c>
      <c r="G105" s="184"/>
      <c r="H105" s="185"/>
    </row>
    <row r="106" spans="1:8" x14ac:dyDescent="0.3">
      <c r="A106" s="21" t="s">
        <v>21</v>
      </c>
      <c r="B106" s="22" t="s">
        <v>22</v>
      </c>
      <c r="C106" s="22" t="s">
        <v>23</v>
      </c>
      <c r="D106" s="23" t="s">
        <v>25</v>
      </c>
      <c r="E106" s="41"/>
      <c r="F106" s="186"/>
      <c r="G106" s="187"/>
      <c r="H106" s="188"/>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78" t="s">
        <v>63</v>
      </c>
      <c r="B122" s="179"/>
      <c r="C122" s="179"/>
      <c r="D122" s="96">
        <f>SUM(Fence_22[Amount])</f>
        <v>0</v>
      </c>
      <c r="E122" s="34"/>
      <c r="F122" s="173" t="s">
        <v>33</v>
      </c>
      <c r="G122" s="174"/>
      <c r="H122" s="174"/>
    </row>
    <row r="123" spans="1:8" x14ac:dyDescent="0.3">
      <c r="F123" s="173"/>
      <c r="G123" s="174"/>
      <c r="H123" s="174"/>
    </row>
    <row r="124" spans="1:8" ht="17.399999999999999" x14ac:dyDescent="0.3">
      <c r="A124" s="191" t="s">
        <v>26</v>
      </c>
      <c r="B124" s="192"/>
      <c r="C124" s="192"/>
      <c r="D124" s="193"/>
      <c r="E124" s="17"/>
      <c r="F124" s="183" t="s">
        <v>11</v>
      </c>
      <c r="G124" s="184"/>
      <c r="H124" s="185"/>
    </row>
    <row r="125" spans="1:8" x14ac:dyDescent="0.3">
      <c r="A125" s="21" t="s">
        <v>21</v>
      </c>
      <c r="B125" s="22" t="s">
        <v>22</v>
      </c>
      <c r="C125" s="22" t="s">
        <v>23</v>
      </c>
      <c r="D125" s="23" t="s">
        <v>25</v>
      </c>
      <c r="E125" s="41"/>
      <c r="F125" s="186"/>
      <c r="G125" s="187"/>
      <c r="H125" s="188"/>
    </row>
    <row r="126" spans="1:8" x14ac:dyDescent="0.3">
      <c r="A126" s="100"/>
      <c r="B126" s="101"/>
      <c r="C126" s="101"/>
      <c r="D126" s="112">
        <v>20410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78" t="s">
        <v>27</v>
      </c>
      <c r="B141" s="179"/>
      <c r="C141" s="179"/>
      <c r="D141" s="96">
        <f>SUM(Demolition_22[Amount])</f>
        <v>20410</v>
      </c>
      <c r="E141" s="34"/>
      <c r="F141" s="173" t="s">
        <v>33</v>
      </c>
      <c r="G141" s="174"/>
      <c r="H141" s="174"/>
    </row>
    <row r="142" spans="1:8" x14ac:dyDescent="0.3">
      <c r="A142" s="38"/>
      <c r="B142" s="38"/>
      <c r="C142" s="38"/>
      <c r="D142" s="39"/>
      <c r="E142" s="40"/>
      <c r="F142" s="173"/>
      <c r="G142" s="174"/>
      <c r="H142" s="174"/>
    </row>
    <row r="143" spans="1:8" ht="17.399999999999999" x14ac:dyDescent="0.3">
      <c r="A143" s="191" t="s">
        <v>64</v>
      </c>
      <c r="B143" s="192"/>
      <c r="C143" s="192"/>
      <c r="D143" s="193"/>
      <c r="E143" s="17"/>
      <c r="F143" s="183" t="s">
        <v>44</v>
      </c>
      <c r="G143" s="184"/>
      <c r="H143" s="185"/>
    </row>
    <row r="144" spans="1:8" x14ac:dyDescent="0.3">
      <c r="A144" s="21" t="s">
        <v>21</v>
      </c>
      <c r="B144" s="22" t="s">
        <v>22</v>
      </c>
      <c r="C144" s="22" t="s">
        <v>23</v>
      </c>
      <c r="D144" s="23" t="s">
        <v>25</v>
      </c>
      <c r="E144" s="41"/>
      <c r="F144" s="186"/>
      <c r="G144" s="187"/>
      <c r="H144" s="188"/>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78" t="s">
        <v>65</v>
      </c>
      <c r="B160" s="179"/>
      <c r="C160" s="179"/>
      <c r="D160" s="96">
        <f>SUM(Rehab_22[Amount])</f>
        <v>0</v>
      </c>
      <c r="E160" s="34"/>
      <c r="F160" s="173" t="s">
        <v>33</v>
      </c>
      <c r="G160" s="174"/>
      <c r="H160" s="174"/>
    </row>
    <row r="161" spans="6:8" x14ac:dyDescent="0.3">
      <c r="F161" s="173"/>
      <c r="G161" s="174"/>
      <c r="H161" s="174"/>
    </row>
  </sheetData>
  <sheetProtection algorithmName="SHA-512" hashValue="9yKrQTqT0qBxz/da47MSraKDEw8LqIRRwA3ku94QyHOl6YpKqcFH4B7yMvtvR7NOfVLyI3y6s526PtIyyfogXg==" saltValue="aNuyOEqgHTreDp7YI+HKtA=="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N161"/>
  <sheetViews>
    <sheetView showGridLines="0" zoomScaleNormal="100" workbookViewId="0">
      <pane ySplit="9" topLeftCell="A115" activePane="bottomLeft" state="frozen"/>
      <selection pane="bottomLeft" activeCell="C127" sqref="C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5" t="s">
        <v>24</v>
      </c>
      <c r="B1" s="175"/>
      <c r="C1" s="175"/>
      <c r="D1" s="175"/>
      <c r="E1" s="1"/>
      <c r="F1" s="2"/>
      <c r="G1" s="2"/>
      <c r="H1" s="1"/>
    </row>
    <row r="2" spans="1:14" ht="24.9" customHeight="1" x14ac:dyDescent="0.3">
      <c r="A2" s="176" t="s">
        <v>71</v>
      </c>
      <c r="B2" s="176"/>
      <c r="C2" s="176"/>
      <c r="D2" s="176"/>
      <c r="E2" s="4"/>
      <c r="F2" s="97"/>
      <c r="G2" s="97"/>
      <c r="H2" s="5"/>
    </row>
    <row r="3" spans="1:14" ht="31.5" customHeight="1" x14ac:dyDescent="0.3">
      <c r="A3" s="176"/>
      <c r="B3" s="176"/>
      <c r="C3" s="176"/>
      <c r="D3" s="176"/>
      <c r="E3" s="4"/>
      <c r="F3" s="97"/>
      <c r="G3" s="97"/>
      <c r="H3" s="5"/>
    </row>
    <row r="4" spans="1:14" ht="15" customHeight="1" x14ac:dyDescent="0.25">
      <c r="A4" s="75" t="s">
        <v>19</v>
      </c>
      <c r="B4" s="194" t="str">
        <f>IF('Summary Sheet'!B55="","",'Summary Sheet'!B55)</f>
        <v>1429 S KARLOV AVE</v>
      </c>
      <c r="C4" s="194"/>
      <c r="D4" s="97"/>
      <c r="E4" s="4"/>
      <c r="F4" s="97"/>
      <c r="G4" s="97"/>
      <c r="H4" s="5"/>
    </row>
    <row r="5" spans="1:14" ht="15" customHeight="1" x14ac:dyDescent="0.25">
      <c r="A5" s="75" t="s">
        <v>20</v>
      </c>
      <c r="B5" s="195" t="str">
        <f>IF('Summary Sheet'!C55="","",'Summary Sheet'!C55)</f>
        <v/>
      </c>
      <c r="C5" s="195"/>
      <c r="D5" s="97"/>
      <c r="E5" s="4"/>
      <c r="F5" s="97"/>
      <c r="G5" s="97"/>
      <c r="H5" s="5"/>
    </row>
    <row r="6" spans="1:14" ht="15" customHeight="1" x14ac:dyDescent="0.25">
      <c r="A6" s="75" t="s">
        <v>36</v>
      </c>
      <c r="B6" s="177"/>
      <c r="C6" s="177"/>
      <c r="D6" s="6"/>
      <c r="E6" s="7"/>
    </row>
    <row r="7" spans="1:14" ht="15" customHeight="1" x14ac:dyDescent="0.25">
      <c r="A7" s="7"/>
      <c r="B7" s="196" t="s">
        <v>34</v>
      </c>
      <c r="C7" s="196"/>
      <c r="D7" s="10"/>
    </row>
    <row r="8" spans="1:14" ht="20.100000000000001" customHeight="1" x14ac:dyDescent="0.25">
      <c r="B8" s="11"/>
      <c r="C8" s="11"/>
      <c r="D8" s="12" t="s">
        <v>31</v>
      </c>
      <c r="F8" s="180" t="s">
        <v>32</v>
      </c>
      <c r="G8" s="181"/>
      <c r="H8" s="182"/>
    </row>
    <row r="9" spans="1:14" s="14" customFormat="1" ht="20.100000000000001" customHeight="1" x14ac:dyDescent="0.25">
      <c r="A9" s="197"/>
      <c r="B9" s="197"/>
      <c r="C9" s="197"/>
      <c r="D9" s="13">
        <f>SUM(D27,D46,D65,D84,D103,D122,D141,D160)</f>
        <v>0</v>
      </c>
      <c r="F9" s="15" t="s">
        <v>28</v>
      </c>
      <c r="G9" s="15" t="s">
        <v>29</v>
      </c>
      <c r="H9" s="15" t="s">
        <v>30</v>
      </c>
      <c r="I9" s="16"/>
      <c r="J9" s="16"/>
      <c r="K9" s="16"/>
      <c r="L9" s="16"/>
      <c r="M9" s="16"/>
      <c r="N9" s="16"/>
    </row>
    <row r="10" spans="1:14" s="17" customFormat="1" ht="23.1" customHeight="1" x14ac:dyDescent="0.3">
      <c r="A10" s="198" t="s">
        <v>51</v>
      </c>
      <c r="B10" s="198"/>
      <c r="C10" s="198"/>
      <c r="D10" s="198"/>
      <c r="F10" s="183" t="s">
        <v>66</v>
      </c>
      <c r="G10" s="184"/>
      <c r="H10" s="185"/>
      <c r="I10" s="18"/>
      <c r="J10" s="18"/>
      <c r="K10" s="18"/>
      <c r="L10" s="18"/>
      <c r="M10" s="19"/>
      <c r="N10" s="20"/>
    </row>
    <row r="11" spans="1:14" s="24" customFormat="1" ht="12.75" customHeight="1" x14ac:dyDescent="0.25">
      <c r="A11" s="21" t="s">
        <v>21</v>
      </c>
      <c r="B11" s="22" t="s">
        <v>22</v>
      </c>
      <c r="C11" s="22" t="s">
        <v>23</v>
      </c>
      <c r="D11" s="23" t="s">
        <v>25</v>
      </c>
      <c r="F11" s="186"/>
      <c r="G11" s="187"/>
      <c r="H11" s="188"/>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78" t="s">
        <v>53</v>
      </c>
      <c r="B27" s="179"/>
      <c r="C27" s="179"/>
      <c r="D27" s="96">
        <f>SUM(Grass_23[Amount])</f>
        <v>0</v>
      </c>
      <c r="F27" s="173" t="s">
        <v>33</v>
      </c>
      <c r="G27" s="174"/>
      <c r="H27" s="174"/>
      <c r="I27" s="35"/>
      <c r="J27" s="35"/>
      <c r="K27" s="35"/>
      <c r="L27" s="35"/>
      <c r="M27" s="36"/>
      <c r="N27" s="37"/>
    </row>
    <row r="28" spans="1:14" s="40" customFormat="1" ht="11.1" customHeight="1" x14ac:dyDescent="0.3">
      <c r="A28" s="38"/>
      <c r="B28" s="38"/>
      <c r="C28" s="38"/>
      <c r="D28" s="39"/>
      <c r="F28" s="173"/>
      <c r="G28" s="174"/>
      <c r="H28" s="174"/>
      <c r="I28" s="35"/>
      <c r="J28" s="35"/>
      <c r="K28" s="35"/>
      <c r="L28" s="35"/>
      <c r="M28" s="36"/>
      <c r="N28" s="37"/>
    </row>
    <row r="29" spans="1:14" s="17" customFormat="1" ht="23.1" customHeight="1" x14ac:dyDescent="0.3">
      <c r="A29" s="191" t="s">
        <v>67</v>
      </c>
      <c r="B29" s="192"/>
      <c r="C29" s="192"/>
      <c r="D29" s="193"/>
      <c r="F29" s="183" t="s">
        <v>52</v>
      </c>
      <c r="G29" s="184"/>
      <c r="H29" s="185"/>
      <c r="I29" s="18"/>
      <c r="J29" s="18"/>
      <c r="K29" s="18"/>
      <c r="L29" s="18"/>
      <c r="M29" s="19"/>
      <c r="N29" s="20"/>
    </row>
    <row r="30" spans="1:14" s="41" customFormat="1" ht="12.75" customHeight="1" x14ac:dyDescent="0.25">
      <c r="A30" s="21" t="s">
        <v>21</v>
      </c>
      <c r="B30" s="22" t="s">
        <v>22</v>
      </c>
      <c r="C30" s="22" t="s">
        <v>23</v>
      </c>
      <c r="D30" s="23" t="s">
        <v>25</v>
      </c>
      <c r="F30" s="186"/>
      <c r="G30" s="187"/>
      <c r="H30" s="188"/>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98"/>
      <c r="J44" s="29"/>
      <c r="K44" s="29"/>
      <c r="L44" s="98"/>
      <c r="M44" s="30"/>
      <c r="N44" s="16"/>
    </row>
    <row r="45" spans="1:14" x14ac:dyDescent="0.3">
      <c r="A45" s="106"/>
      <c r="B45" s="107"/>
      <c r="C45" s="107"/>
      <c r="D45" s="114"/>
      <c r="F45" s="103"/>
      <c r="G45" s="104"/>
      <c r="H45" s="109"/>
      <c r="I45" s="98"/>
      <c r="J45" s="29"/>
      <c r="K45" s="29"/>
      <c r="L45" s="98"/>
      <c r="M45" s="30"/>
      <c r="N45" s="16"/>
    </row>
    <row r="46" spans="1:14" s="34" customFormat="1" x14ac:dyDescent="0.3">
      <c r="A46" s="178" t="s">
        <v>54</v>
      </c>
      <c r="B46" s="179"/>
      <c r="C46" s="179"/>
      <c r="D46" s="96">
        <f>SUM(Tree_23[Amount])</f>
        <v>0</v>
      </c>
      <c r="F46" s="173" t="s">
        <v>33</v>
      </c>
      <c r="G46" s="174"/>
      <c r="H46" s="174"/>
      <c r="I46" s="43"/>
      <c r="J46" s="43"/>
      <c r="K46" s="43"/>
      <c r="L46" s="43"/>
      <c r="M46" s="36"/>
      <c r="N46" s="37"/>
    </row>
    <row r="47" spans="1:14" s="40" customFormat="1" ht="11.1" customHeight="1" x14ac:dyDescent="0.3">
      <c r="A47" s="38"/>
      <c r="B47" s="38"/>
      <c r="C47" s="38"/>
      <c r="D47" s="39"/>
      <c r="F47" s="173"/>
      <c r="G47" s="174"/>
      <c r="H47" s="174"/>
      <c r="I47" s="43"/>
      <c r="J47" s="43"/>
      <c r="K47" s="43"/>
      <c r="L47" s="43"/>
      <c r="M47" s="36"/>
      <c r="N47" s="37"/>
    </row>
    <row r="48" spans="1:14" s="17" customFormat="1" ht="23.1" customHeight="1" x14ac:dyDescent="0.3">
      <c r="A48" s="191" t="s">
        <v>68</v>
      </c>
      <c r="B48" s="192"/>
      <c r="C48" s="192"/>
      <c r="D48" s="193"/>
      <c r="F48" s="183" t="s">
        <v>55</v>
      </c>
      <c r="G48" s="184"/>
      <c r="H48" s="185"/>
      <c r="I48" s="44"/>
      <c r="J48" s="44"/>
      <c r="K48" s="44"/>
      <c r="L48" s="44"/>
      <c r="M48" s="19"/>
      <c r="N48" s="20"/>
    </row>
    <row r="49" spans="1:14" s="41" customFormat="1" ht="12.75" customHeight="1" x14ac:dyDescent="0.25">
      <c r="A49" s="21" t="s">
        <v>21</v>
      </c>
      <c r="B49" s="22" t="s">
        <v>22</v>
      </c>
      <c r="C49" s="22" t="s">
        <v>23</v>
      </c>
      <c r="D49" s="23" t="s">
        <v>25</v>
      </c>
      <c r="F49" s="186"/>
      <c r="G49" s="187"/>
      <c r="H49" s="188"/>
      <c r="I49" s="98"/>
      <c r="J49" s="98"/>
      <c r="K49" s="98"/>
      <c r="L49" s="98"/>
      <c r="M49" s="30"/>
      <c r="N49" s="42"/>
    </row>
    <row r="50" spans="1:14" x14ac:dyDescent="0.3">
      <c r="A50" s="100"/>
      <c r="B50" s="101"/>
      <c r="C50" s="101"/>
      <c r="D50" s="112"/>
      <c r="F50" s="103"/>
      <c r="G50" s="104"/>
      <c r="H50" s="109"/>
      <c r="I50" s="98"/>
      <c r="J50" s="98"/>
      <c r="K50" s="98"/>
      <c r="L50" s="98"/>
      <c r="M50" s="30"/>
      <c r="N50" s="16"/>
    </row>
    <row r="51" spans="1:14" x14ac:dyDescent="0.3">
      <c r="A51" s="106"/>
      <c r="B51" s="107"/>
      <c r="C51" s="107"/>
      <c r="D51" s="113"/>
      <c r="F51" s="103"/>
      <c r="G51" s="104"/>
      <c r="H51" s="109"/>
      <c r="I51" s="98"/>
      <c r="J51" s="98"/>
      <c r="K51" s="98"/>
      <c r="L51" s="98"/>
      <c r="M51" s="30"/>
      <c r="N51" s="16"/>
    </row>
    <row r="52" spans="1:14" x14ac:dyDescent="0.3">
      <c r="A52" s="106"/>
      <c r="B52" s="107"/>
      <c r="C52" s="107"/>
      <c r="D52" s="114"/>
      <c r="F52" s="103"/>
      <c r="H52" s="109"/>
      <c r="I52" s="98"/>
      <c r="J52" s="98"/>
      <c r="K52" s="98"/>
      <c r="L52" s="98"/>
      <c r="M52" s="30"/>
      <c r="N52" s="16"/>
    </row>
    <row r="53" spans="1:14" x14ac:dyDescent="0.3">
      <c r="A53" s="106"/>
      <c r="B53" s="107"/>
      <c r="C53" s="107"/>
      <c r="D53" s="113"/>
      <c r="F53" s="103"/>
      <c r="G53" s="104"/>
      <c r="H53" s="109"/>
      <c r="I53" s="98"/>
      <c r="J53" s="98"/>
      <c r="K53" s="98"/>
      <c r="L53" s="98"/>
      <c r="M53" s="30"/>
      <c r="N53" s="16"/>
    </row>
    <row r="54" spans="1:14" x14ac:dyDescent="0.3">
      <c r="A54" s="106"/>
      <c r="B54" s="107"/>
      <c r="C54" s="107"/>
      <c r="D54" s="114"/>
      <c r="F54" s="103"/>
      <c r="G54" s="104"/>
      <c r="H54" s="109"/>
      <c r="I54" s="98"/>
      <c r="J54" s="98"/>
      <c r="K54" s="98"/>
      <c r="L54" s="98"/>
      <c r="M54" s="30"/>
      <c r="N54" s="16"/>
    </row>
    <row r="55" spans="1:14" x14ac:dyDescent="0.3">
      <c r="A55" s="106"/>
      <c r="B55" s="107"/>
      <c r="C55" s="107"/>
      <c r="D55" s="113"/>
      <c r="F55" s="103"/>
      <c r="G55" s="104"/>
      <c r="H55" s="109"/>
      <c r="I55" s="98"/>
      <c r="J55" s="98"/>
      <c r="K55" s="98"/>
      <c r="L55" s="98"/>
      <c r="M55" s="30"/>
      <c r="N55" s="16"/>
    </row>
    <row r="56" spans="1:14" x14ac:dyDescent="0.3">
      <c r="A56" s="106"/>
      <c r="B56" s="107"/>
      <c r="C56" s="107"/>
      <c r="D56" s="114"/>
      <c r="F56" s="103"/>
      <c r="G56" s="104"/>
      <c r="H56" s="109"/>
      <c r="I56" s="98"/>
      <c r="J56" s="98"/>
      <c r="K56" s="98"/>
      <c r="L56" s="98"/>
      <c r="M56" s="30"/>
      <c r="N56" s="16"/>
    </row>
    <row r="57" spans="1:14" x14ac:dyDescent="0.3">
      <c r="A57" s="106"/>
      <c r="B57" s="107"/>
      <c r="C57" s="107"/>
      <c r="D57" s="113"/>
      <c r="F57" s="103"/>
      <c r="G57" s="104"/>
      <c r="H57" s="109"/>
      <c r="I57" s="98"/>
      <c r="J57" s="98"/>
      <c r="K57" s="98"/>
      <c r="L57" s="98"/>
      <c r="M57" s="30"/>
      <c r="N57" s="16"/>
    </row>
    <row r="58" spans="1:14" x14ac:dyDescent="0.3">
      <c r="A58" s="106"/>
      <c r="B58" s="107"/>
      <c r="C58" s="107"/>
      <c r="D58" s="114"/>
      <c r="F58" s="103"/>
      <c r="G58" s="104"/>
      <c r="H58" s="109"/>
      <c r="I58" s="98"/>
      <c r="J58" s="98"/>
      <c r="K58" s="98"/>
      <c r="L58" s="98"/>
      <c r="M58" s="30"/>
      <c r="N58" s="16"/>
    </row>
    <row r="59" spans="1:14" x14ac:dyDescent="0.3">
      <c r="A59" s="106"/>
      <c r="B59" s="107"/>
      <c r="C59" s="107"/>
      <c r="D59" s="113"/>
      <c r="F59" s="103"/>
      <c r="G59" s="104"/>
      <c r="H59" s="109"/>
      <c r="I59" s="98"/>
      <c r="J59" s="190"/>
      <c r="K59" s="190"/>
      <c r="L59" s="98"/>
      <c r="M59" s="30"/>
      <c r="N59" s="16"/>
    </row>
    <row r="60" spans="1:14" x14ac:dyDescent="0.3">
      <c r="A60" s="106"/>
      <c r="B60" s="107"/>
      <c r="C60" s="107"/>
      <c r="D60" s="114"/>
      <c r="F60" s="103"/>
      <c r="G60" s="104"/>
      <c r="H60" s="109"/>
      <c r="I60" s="189"/>
      <c r="J60" s="189"/>
      <c r="K60" s="189"/>
      <c r="L60" s="189"/>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78" t="s">
        <v>56</v>
      </c>
      <c r="B65" s="179"/>
      <c r="C65" s="179"/>
      <c r="D65" s="96">
        <f>SUM(Pest_23[Amount])</f>
        <v>0</v>
      </c>
      <c r="F65" s="173" t="s">
        <v>33</v>
      </c>
      <c r="G65" s="174"/>
      <c r="H65" s="174"/>
    </row>
    <row r="66" spans="1:8" x14ac:dyDescent="0.3">
      <c r="F66" s="173"/>
      <c r="G66" s="174"/>
      <c r="H66" s="174"/>
    </row>
    <row r="67" spans="1:8" ht="17.399999999999999" x14ac:dyDescent="0.3">
      <c r="A67" s="198" t="s">
        <v>69</v>
      </c>
      <c r="B67" s="198"/>
      <c r="C67" s="198"/>
      <c r="D67" s="198"/>
      <c r="E67" s="17"/>
      <c r="F67" s="183" t="s">
        <v>57</v>
      </c>
      <c r="G67" s="184"/>
      <c r="H67" s="185"/>
    </row>
    <row r="68" spans="1:8" x14ac:dyDescent="0.3">
      <c r="A68" s="21" t="s">
        <v>21</v>
      </c>
      <c r="B68" s="22" t="s">
        <v>22</v>
      </c>
      <c r="C68" s="22" t="s">
        <v>23</v>
      </c>
      <c r="D68" s="23" t="s">
        <v>25</v>
      </c>
      <c r="E68" s="24"/>
      <c r="F68" s="186"/>
      <c r="G68" s="187"/>
      <c r="H68" s="188"/>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78" t="s">
        <v>58</v>
      </c>
      <c r="B84" s="179"/>
      <c r="C84" s="179"/>
      <c r="D84" s="96">
        <f>SUM(Garbage_23[Amount])</f>
        <v>0</v>
      </c>
      <c r="E84" s="34"/>
      <c r="F84" s="173" t="s">
        <v>33</v>
      </c>
      <c r="G84" s="174"/>
      <c r="H84" s="174"/>
    </row>
    <row r="85" spans="1:8" x14ac:dyDescent="0.3">
      <c r="A85" s="38"/>
      <c r="B85" s="38"/>
      <c r="C85" s="38"/>
      <c r="D85" s="39"/>
      <c r="E85" s="40"/>
      <c r="F85" s="173"/>
      <c r="G85" s="174"/>
      <c r="H85" s="174"/>
    </row>
    <row r="86" spans="1:8" ht="17.399999999999999" x14ac:dyDescent="0.3">
      <c r="A86" s="191" t="s">
        <v>59</v>
      </c>
      <c r="B86" s="192"/>
      <c r="C86" s="192"/>
      <c r="D86" s="193"/>
      <c r="E86" s="17"/>
      <c r="F86" s="183" t="s">
        <v>60</v>
      </c>
      <c r="G86" s="184"/>
      <c r="H86" s="185"/>
    </row>
    <row r="87" spans="1:8" x14ac:dyDescent="0.3">
      <c r="A87" s="21" t="s">
        <v>21</v>
      </c>
      <c r="B87" s="22" t="s">
        <v>22</v>
      </c>
      <c r="C87" s="22" t="s">
        <v>23</v>
      </c>
      <c r="D87" s="23" t="s">
        <v>25</v>
      </c>
      <c r="E87" s="41"/>
      <c r="F87" s="186"/>
      <c r="G87" s="187"/>
      <c r="H87" s="188"/>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78" t="s">
        <v>61</v>
      </c>
      <c r="B103" s="179"/>
      <c r="C103" s="179"/>
      <c r="D103" s="96">
        <f>SUM(Boarding_23[Amount])</f>
        <v>0</v>
      </c>
      <c r="E103" s="34"/>
      <c r="F103" s="173" t="s">
        <v>33</v>
      </c>
      <c r="G103" s="174"/>
      <c r="H103" s="174"/>
    </row>
    <row r="104" spans="1:8" x14ac:dyDescent="0.3">
      <c r="A104" s="38"/>
      <c r="B104" s="38"/>
      <c r="C104" s="38"/>
      <c r="D104" s="39"/>
      <c r="E104" s="40"/>
      <c r="F104" s="173"/>
      <c r="G104" s="174"/>
      <c r="H104" s="174"/>
    </row>
    <row r="105" spans="1:8" ht="17.399999999999999" x14ac:dyDescent="0.3">
      <c r="A105" s="191" t="s">
        <v>70</v>
      </c>
      <c r="B105" s="192"/>
      <c r="C105" s="192"/>
      <c r="D105" s="193"/>
      <c r="E105" s="17"/>
      <c r="F105" s="183" t="s">
        <v>62</v>
      </c>
      <c r="G105" s="184"/>
      <c r="H105" s="185"/>
    </row>
    <row r="106" spans="1:8" x14ac:dyDescent="0.3">
      <c r="A106" s="21" t="s">
        <v>21</v>
      </c>
      <c r="B106" s="22" t="s">
        <v>22</v>
      </c>
      <c r="C106" s="22" t="s">
        <v>23</v>
      </c>
      <c r="D106" s="23" t="s">
        <v>25</v>
      </c>
      <c r="E106" s="41"/>
      <c r="F106" s="186"/>
      <c r="G106" s="187"/>
      <c r="H106" s="188"/>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78" t="s">
        <v>63</v>
      </c>
      <c r="B122" s="179"/>
      <c r="C122" s="179"/>
      <c r="D122" s="96">
        <f>SUM(Fence_23[Amount])</f>
        <v>0</v>
      </c>
      <c r="E122" s="34"/>
      <c r="F122" s="173" t="s">
        <v>33</v>
      </c>
      <c r="G122" s="174"/>
      <c r="H122" s="174"/>
    </row>
    <row r="123" spans="1:8" x14ac:dyDescent="0.3">
      <c r="F123" s="173"/>
      <c r="G123" s="174"/>
      <c r="H123" s="174"/>
    </row>
    <row r="124" spans="1:8" ht="17.399999999999999" x14ac:dyDescent="0.3">
      <c r="A124" s="191" t="s">
        <v>26</v>
      </c>
      <c r="B124" s="192"/>
      <c r="C124" s="192"/>
      <c r="D124" s="193"/>
      <c r="E124" s="17"/>
      <c r="F124" s="183" t="s">
        <v>11</v>
      </c>
      <c r="G124" s="184"/>
      <c r="H124" s="185"/>
    </row>
    <row r="125" spans="1:8" x14ac:dyDescent="0.3">
      <c r="A125" s="21" t="s">
        <v>21</v>
      </c>
      <c r="B125" s="22" t="s">
        <v>22</v>
      </c>
      <c r="C125" s="22" t="s">
        <v>23</v>
      </c>
      <c r="D125" s="23" t="s">
        <v>25</v>
      </c>
      <c r="E125" s="41"/>
      <c r="F125" s="186"/>
      <c r="G125" s="187"/>
      <c r="H125" s="188"/>
    </row>
    <row r="126" spans="1:8" x14ac:dyDescent="0.3">
      <c r="A126" s="100"/>
      <c r="B126" s="101"/>
      <c r="C126" s="101">
        <v>20210</v>
      </c>
      <c r="D126" s="112"/>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78" t="s">
        <v>27</v>
      </c>
      <c r="B141" s="179"/>
      <c r="C141" s="179"/>
      <c r="D141" s="96">
        <f>SUM(Demolition_23[Amount])</f>
        <v>0</v>
      </c>
      <c r="E141" s="34"/>
      <c r="F141" s="173" t="s">
        <v>33</v>
      </c>
      <c r="G141" s="174"/>
      <c r="H141" s="174"/>
    </row>
    <row r="142" spans="1:8" x14ac:dyDescent="0.3">
      <c r="A142" s="38"/>
      <c r="B142" s="38"/>
      <c r="C142" s="38"/>
      <c r="D142" s="39"/>
      <c r="E142" s="40"/>
      <c r="F142" s="173"/>
      <c r="G142" s="174"/>
      <c r="H142" s="174"/>
    </row>
    <row r="143" spans="1:8" ht="17.399999999999999" x14ac:dyDescent="0.3">
      <c r="A143" s="191" t="s">
        <v>64</v>
      </c>
      <c r="B143" s="192"/>
      <c r="C143" s="192"/>
      <c r="D143" s="193"/>
      <c r="E143" s="17"/>
      <c r="F143" s="183" t="s">
        <v>44</v>
      </c>
      <c r="G143" s="184"/>
      <c r="H143" s="185"/>
    </row>
    <row r="144" spans="1:8" x14ac:dyDescent="0.3">
      <c r="A144" s="21" t="s">
        <v>21</v>
      </c>
      <c r="B144" s="22" t="s">
        <v>22</v>
      </c>
      <c r="C144" s="22" t="s">
        <v>23</v>
      </c>
      <c r="D144" s="23" t="s">
        <v>25</v>
      </c>
      <c r="E144" s="41"/>
      <c r="F144" s="186"/>
      <c r="G144" s="187"/>
      <c r="H144" s="188"/>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78" t="s">
        <v>65</v>
      </c>
      <c r="B160" s="179"/>
      <c r="C160" s="179"/>
      <c r="D160" s="96">
        <f>SUM(Rehab_23[Amount])</f>
        <v>0</v>
      </c>
      <c r="E160" s="34"/>
      <c r="F160" s="173" t="s">
        <v>33</v>
      </c>
      <c r="G160" s="174"/>
      <c r="H160" s="174"/>
    </row>
    <row r="161" spans="6:8" x14ac:dyDescent="0.3">
      <c r="F161" s="173"/>
      <c r="G161" s="174"/>
      <c r="H161" s="174"/>
    </row>
  </sheetData>
  <sheetProtection algorithmName="SHA-512" hashValue="P4MXwBJO25hs5hQ3NsIYqj/J7jvv/9/gK17DTt6m61ASFt0hjgDa//lbT/SW6wbEGmUXoGyCkTtqhoPOKk6axA==" saltValue="wGOvgat7t2ECtdT0II+ETw=="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N161"/>
  <sheetViews>
    <sheetView showGridLines="0" zoomScaleNormal="100" workbookViewId="0">
      <pane ySplit="9" topLeftCell="A124" activePane="bottomLeft" state="frozen"/>
      <selection pane="bottomLeft" activeCell="C127" sqref="C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5" t="s">
        <v>24</v>
      </c>
      <c r="B1" s="175"/>
      <c r="C1" s="175"/>
      <c r="D1" s="175"/>
      <c r="E1" s="1"/>
      <c r="F1" s="2"/>
      <c r="G1" s="2"/>
      <c r="H1" s="1"/>
    </row>
    <row r="2" spans="1:14" ht="24.9" customHeight="1" x14ac:dyDescent="0.3">
      <c r="A2" s="176" t="s">
        <v>71</v>
      </c>
      <c r="B2" s="176"/>
      <c r="C2" s="176"/>
      <c r="D2" s="176"/>
      <c r="E2" s="4"/>
      <c r="F2" s="97"/>
      <c r="G2" s="97"/>
      <c r="H2" s="5"/>
    </row>
    <row r="3" spans="1:14" ht="31.5" customHeight="1" x14ac:dyDescent="0.3">
      <c r="A3" s="176"/>
      <c r="B3" s="176"/>
      <c r="C3" s="176"/>
      <c r="D3" s="176"/>
      <c r="E3" s="4"/>
      <c r="F3" s="97"/>
      <c r="G3" s="97"/>
      <c r="H3" s="5"/>
    </row>
    <row r="4" spans="1:14" ht="15" customHeight="1" x14ac:dyDescent="0.25">
      <c r="A4" s="75" t="s">
        <v>19</v>
      </c>
      <c r="B4" s="194" t="str">
        <f>IF('Summary Sheet'!B56="","",'Summary Sheet'!B56)</f>
        <v>142 W 110TH ST</v>
      </c>
      <c r="C4" s="194"/>
      <c r="D4" s="97"/>
      <c r="E4" s="4"/>
      <c r="F4" s="97"/>
      <c r="G4" s="97"/>
      <c r="H4" s="5"/>
    </row>
    <row r="5" spans="1:14" ht="15" customHeight="1" x14ac:dyDescent="0.25">
      <c r="A5" s="75" t="s">
        <v>20</v>
      </c>
      <c r="B5" s="195" t="str">
        <f>IF('Summary Sheet'!C56="","",'Summary Sheet'!C56)</f>
        <v/>
      </c>
      <c r="C5" s="195"/>
      <c r="D5" s="97"/>
      <c r="E5" s="4"/>
      <c r="F5" s="97"/>
      <c r="G5" s="97"/>
      <c r="H5" s="5"/>
    </row>
    <row r="6" spans="1:14" ht="15" customHeight="1" x14ac:dyDescent="0.25">
      <c r="A6" s="75" t="s">
        <v>36</v>
      </c>
      <c r="B6" s="177"/>
      <c r="C6" s="177"/>
      <c r="D6" s="6"/>
      <c r="E6" s="7"/>
    </row>
    <row r="7" spans="1:14" ht="15" customHeight="1" x14ac:dyDescent="0.25">
      <c r="A7" s="7"/>
      <c r="B7" s="196" t="s">
        <v>34</v>
      </c>
      <c r="C7" s="196"/>
      <c r="D7" s="10"/>
    </row>
    <row r="8" spans="1:14" ht="20.100000000000001" customHeight="1" x14ac:dyDescent="0.25">
      <c r="B8" s="11"/>
      <c r="C8" s="11"/>
      <c r="D8" s="12" t="s">
        <v>31</v>
      </c>
      <c r="F8" s="180" t="s">
        <v>32</v>
      </c>
      <c r="G8" s="181"/>
      <c r="H8" s="182"/>
    </row>
    <row r="9" spans="1:14" s="14" customFormat="1" ht="20.100000000000001" customHeight="1" x14ac:dyDescent="0.25">
      <c r="A9" s="197"/>
      <c r="B9" s="197"/>
      <c r="C9" s="197"/>
      <c r="D9" s="13">
        <f>SUM(D27,D46,D65,D84,D103,D122,D141,D160)</f>
        <v>0</v>
      </c>
      <c r="F9" s="15" t="s">
        <v>28</v>
      </c>
      <c r="G9" s="15" t="s">
        <v>29</v>
      </c>
      <c r="H9" s="15" t="s">
        <v>30</v>
      </c>
      <c r="I9" s="16"/>
      <c r="J9" s="16"/>
      <c r="K9" s="16"/>
      <c r="L9" s="16"/>
      <c r="M9" s="16"/>
      <c r="N9" s="16"/>
    </row>
    <row r="10" spans="1:14" s="17" customFormat="1" ht="23.1" customHeight="1" x14ac:dyDescent="0.3">
      <c r="A10" s="198" t="s">
        <v>51</v>
      </c>
      <c r="B10" s="198"/>
      <c r="C10" s="198"/>
      <c r="D10" s="198"/>
      <c r="F10" s="183" t="s">
        <v>66</v>
      </c>
      <c r="G10" s="184"/>
      <c r="H10" s="185"/>
      <c r="I10" s="18"/>
      <c r="J10" s="18"/>
      <c r="K10" s="18"/>
      <c r="L10" s="18"/>
      <c r="M10" s="19"/>
      <c r="N10" s="20"/>
    </row>
    <row r="11" spans="1:14" s="24" customFormat="1" ht="12.75" customHeight="1" x14ac:dyDescent="0.25">
      <c r="A11" s="21" t="s">
        <v>21</v>
      </c>
      <c r="B11" s="22" t="s">
        <v>22</v>
      </c>
      <c r="C11" s="22" t="s">
        <v>23</v>
      </c>
      <c r="D11" s="23" t="s">
        <v>25</v>
      </c>
      <c r="F11" s="186"/>
      <c r="G11" s="187"/>
      <c r="H11" s="188"/>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78" t="s">
        <v>53</v>
      </c>
      <c r="B27" s="179"/>
      <c r="C27" s="179"/>
      <c r="D27" s="96">
        <f>SUM(Grass_24[Amount])</f>
        <v>0</v>
      </c>
      <c r="F27" s="173" t="s">
        <v>33</v>
      </c>
      <c r="G27" s="174"/>
      <c r="H27" s="174"/>
      <c r="I27" s="35"/>
      <c r="J27" s="35"/>
      <c r="K27" s="35"/>
      <c r="L27" s="35"/>
      <c r="M27" s="36"/>
      <c r="N27" s="37"/>
    </row>
    <row r="28" spans="1:14" s="40" customFormat="1" ht="11.1" customHeight="1" x14ac:dyDescent="0.3">
      <c r="A28" s="38"/>
      <c r="B28" s="38"/>
      <c r="C28" s="38"/>
      <c r="D28" s="39"/>
      <c r="F28" s="173"/>
      <c r="G28" s="174"/>
      <c r="H28" s="174"/>
      <c r="I28" s="35"/>
      <c r="J28" s="35"/>
      <c r="K28" s="35"/>
      <c r="L28" s="35"/>
      <c r="M28" s="36"/>
      <c r="N28" s="37"/>
    </row>
    <row r="29" spans="1:14" s="17" customFormat="1" ht="23.1" customHeight="1" x14ac:dyDescent="0.3">
      <c r="A29" s="191" t="s">
        <v>67</v>
      </c>
      <c r="B29" s="192"/>
      <c r="C29" s="192"/>
      <c r="D29" s="193"/>
      <c r="F29" s="183" t="s">
        <v>52</v>
      </c>
      <c r="G29" s="184"/>
      <c r="H29" s="185"/>
      <c r="I29" s="18"/>
      <c r="J29" s="18"/>
      <c r="K29" s="18"/>
      <c r="L29" s="18"/>
      <c r="M29" s="19"/>
      <c r="N29" s="20"/>
    </row>
    <row r="30" spans="1:14" s="41" customFormat="1" ht="12.75" customHeight="1" x14ac:dyDescent="0.25">
      <c r="A30" s="21" t="s">
        <v>21</v>
      </c>
      <c r="B30" s="22" t="s">
        <v>22</v>
      </c>
      <c r="C30" s="22" t="s">
        <v>23</v>
      </c>
      <c r="D30" s="23" t="s">
        <v>25</v>
      </c>
      <c r="F30" s="186"/>
      <c r="G30" s="187"/>
      <c r="H30" s="188"/>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98"/>
      <c r="J44" s="29"/>
      <c r="K44" s="29"/>
      <c r="L44" s="98"/>
      <c r="M44" s="30"/>
      <c r="N44" s="16"/>
    </row>
    <row r="45" spans="1:14" x14ac:dyDescent="0.3">
      <c r="A45" s="106"/>
      <c r="B45" s="107"/>
      <c r="C45" s="107"/>
      <c r="D45" s="114"/>
      <c r="F45" s="103"/>
      <c r="G45" s="104"/>
      <c r="H45" s="109"/>
      <c r="I45" s="98"/>
      <c r="J45" s="29"/>
      <c r="K45" s="29"/>
      <c r="L45" s="98"/>
      <c r="M45" s="30"/>
      <c r="N45" s="16"/>
    </row>
    <row r="46" spans="1:14" s="34" customFormat="1" x14ac:dyDescent="0.3">
      <c r="A46" s="178" t="s">
        <v>54</v>
      </c>
      <c r="B46" s="179"/>
      <c r="C46" s="179"/>
      <c r="D46" s="96">
        <f>SUM(Tree_24[Amount])</f>
        <v>0</v>
      </c>
      <c r="F46" s="173" t="s">
        <v>33</v>
      </c>
      <c r="G46" s="174"/>
      <c r="H46" s="174"/>
      <c r="I46" s="43"/>
      <c r="J46" s="43"/>
      <c r="K46" s="43"/>
      <c r="L46" s="43"/>
      <c r="M46" s="36"/>
      <c r="N46" s="37"/>
    </row>
    <row r="47" spans="1:14" s="40" customFormat="1" ht="11.1" customHeight="1" x14ac:dyDescent="0.3">
      <c r="A47" s="38"/>
      <c r="B47" s="38"/>
      <c r="C47" s="38"/>
      <c r="D47" s="39"/>
      <c r="F47" s="173"/>
      <c r="G47" s="174"/>
      <c r="H47" s="174"/>
      <c r="I47" s="43"/>
      <c r="J47" s="43"/>
      <c r="K47" s="43"/>
      <c r="L47" s="43"/>
      <c r="M47" s="36"/>
      <c r="N47" s="37"/>
    </row>
    <row r="48" spans="1:14" s="17" customFormat="1" ht="23.1" customHeight="1" x14ac:dyDescent="0.3">
      <c r="A48" s="191" t="s">
        <v>68</v>
      </c>
      <c r="B48" s="192"/>
      <c r="C48" s="192"/>
      <c r="D48" s="193"/>
      <c r="F48" s="183" t="s">
        <v>55</v>
      </c>
      <c r="G48" s="184"/>
      <c r="H48" s="185"/>
      <c r="I48" s="44"/>
      <c r="J48" s="44"/>
      <c r="K48" s="44"/>
      <c r="L48" s="44"/>
      <c r="M48" s="19"/>
      <c r="N48" s="20"/>
    </row>
    <row r="49" spans="1:14" s="41" customFormat="1" ht="12.75" customHeight="1" x14ac:dyDescent="0.25">
      <c r="A49" s="21" t="s">
        <v>21</v>
      </c>
      <c r="B49" s="22" t="s">
        <v>22</v>
      </c>
      <c r="C49" s="22" t="s">
        <v>23</v>
      </c>
      <c r="D49" s="23" t="s">
        <v>25</v>
      </c>
      <c r="F49" s="186"/>
      <c r="G49" s="187"/>
      <c r="H49" s="188"/>
      <c r="I49" s="98"/>
      <c r="J49" s="98"/>
      <c r="K49" s="98"/>
      <c r="L49" s="98"/>
      <c r="M49" s="30"/>
      <c r="N49" s="42"/>
    </row>
    <row r="50" spans="1:14" x14ac:dyDescent="0.3">
      <c r="A50" s="100"/>
      <c r="B50" s="101"/>
      <c r="C50" s="101"/>
      <c r="D50" s="112"/>
      <c r="F50" s="103"/>
      <c r="G50" s="104"/>
      <c r="H50" s="109"/>
      <c r="I50" s="98"/>
      <c r="J50" s="98"/>
      <c r="K50" s="98"/>
      <c r="L50" s="98"/>
      <c r="M50" s="30"/>
      <c r="N50" s="16"/>
    </row>
    <row r="51" spans="1:14" x14ac:dyDescent="0.3">
      <c r="A51" s="106"/>
      <c r="B51" s="107"/>
      <c r="C51" s="107"/>
      <c r="D51" s="113"/>
      <c r="F51" s="103"/>
      <c r="G51" s="104"/>
      <c r="H51" s="109"/>
      <c r="I51" s="98"/>
      <c r="J51" s="98"/>
      <c r="K51" s="98"/>
      <c r="L51" s="98"/>
      <c r="M51" s="30"/>
      <c r="N51" s="16"/>
    </row>
    <row r="52" spans="1:14" x14ac:dyDescent="0.3">
      <c r="A52" s="106"/>
      <c r="B52" s="107"/>
      <c r="C52" s="107"/>
      <c r="D52" s="114"/>
      <c r="F52" s="103"/>
      <c r="H52" s="109"/>
      <c r="I52" s="98"/>
      <c r="J52" s="98"/>
      <c r="K52" s="98"/>
      <c r="L52" s="98"/>
      <c r="M52" s="30"/>
      <c r="N52" s="16"/>
    </row>
    <row r="53" spans="1:14" x14ac:dyDescent="0.3">
      <c r="A53" s="106"/>
      <c r="B53" s="107"/>
      <c r="C53" s="107"/>
      <c r="D53" s="113"/>
      <c r="F53" s="103"/>
      <c r="G53" s="104"/>
      <c r="H53" s="109"/>
      <c r="I53" s="98"/>
      <c r="J53" s="98"/>
      <c r="K53" s="98"/>
      <c r="L53" s="98"/>
      <c r="M53" s="30"/>
      <c r="N53" s="16"/>
    </row>
    <row r="54" spans="1:14" x14ac:dyDescent="0.3">
      <c r="A54" s="106"/>
      <c r="B54" s="107"/>
      <c r="C54" s="107"/>
      <c r="D54" s="114"/>
      <c r="F54" s="103"/>
      <c r="G54" s="104"/>
      <c r="H54" s="109"/>
      <c r="I54" s="98"/>
      <c r="J54" s="98"/>
      <c r="K54" s="98"/>
      <c r="L54" s="98"/>
      <c r="M54" s="30"/>
      <c r="N54" s="16"/>
    </row>
    <row r="55" spans="1:14" x14ac:dyDescent="0.3">
      <c r="A55" s="106"/>
      <c r="B55" s="107"/>
      <c r="C55" s="107"/>
      <c r="D55" s="113"/>
      <c r="F55" s="103"/>
      <c r="G55" s="104"/>
      <c r="H55" s="109"/>
      <c r="I55" s="98"/>
      <c r="J55" s="98"/>
      <c r="K55" s="98"/>
      <c r="L55" s="98"/>
      <c r="M55" s="30"/>
      <c r="N55" s="16"/>
    </row>
    <row r="56" spans="1:14" x14ac:dyDescent="0.3">
      <c r="A56" s="106"/>
      <c r="B56" s="107"/>
      <c r="C56" s="107"/>
      <c r="D56" s="114"/>
      <c r="F56" s="103"/>
      <c r="G56" s="104"/>
      <c r="H56" s="109"/>
      <c r="I56" s="98"/>
      <c r="J56" s="98"/>
      <c r="K56" s="98"/>
      <c r="L56" s="98"/>
      <c r="M56" s="30"/>
      <c r="N56" s="16"/>
    </row>
    <row r="57" spans="1:14" x14ac:dyDescent="0.3">
      <c r="A57" s="106"/>
      <c r="B57" s="107"/>
      <c r="C57" s="107"/>
      <c r="D57" s="113"/>
      <c r="F57" s="103"/>
      <c r="G57" s="104"/>
      <c r="H57" s="109"/>
      <c r="I57" s="98"/>
      <c r="J57" s="98"/>
      <c r="K57" s="98"/>
      <c r="L57" s="98"/>
      <c r="M57" s="30"/>
      <c r="N57" s="16"/>
    </row>
    <row r="58" spans="1:14" x14ac:dyDescent="0.3">
      <c r="A58" s="106"/>
      <c r="B58" s="107"/>
      <c r="C58" s="107"/>
      <c r="D58" s="114"/>
      <c r="F58" s="103"/>
      <c r="G58" s="104"/>
      <c r="H58" s="109"/>
      <c r="I58" s="98"/>
      <c r="J58" s="98"/>
      <c r="K58" s="98"/>
      <c r="L58" s="98"/>
      <c r="M58" s="30"/>
      <c r="N58" s="16"/>
    </row>
    <row r="59" spans="1:14" x14ac:dyDescent="0.3">
      <c r="A59" s="106"/>
      <c r="B59" s="107"/>
      <c r="C59" s="107"/>
      <c r="D59" s="113"/>
      <c r="F59" s="103"/>
      <c r="G59" s="104"/>
      <c r="H59" s="109"/>
      <c r="I59" s="98"/>
      <c r="J59" s="190"/>
      <c r="K59" s="190"/>
      <c r="L59" s="98"/>
      <c r="M59" s="30"/>
      <c r="N59" s="16"/>
    </row>
    <row r="60" spans="1:14" x14ac:dyDescent="0.3">
      <c r="A60" s="106"/>
      <c r="B60" s="107"/>
      <c r="C60" s="107"/>
      <c r="D60" s="114"/>
      <c r="F60" s="103"/>
      <c r="G60" s="104"/>
      <c r="H60" s="109"/>
      <c r="I60" s="189"/>
      <c r="J60" s="189"/>
      <c r="K60" s="189"/>
      <c r="L60" s="189"/>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78" t="s">
        <v>56</v>
      </c>
      <c r="B65" s="179"/>
      <c r="C65" s="179"/>
      <c r="D65" s="96">
        <f>SUM(Pest_24[Amount])</f>
        <v>0</v>
      </c>
      <c r="F65" s="173" t="s">
        <v>33</v>
      </c>
      <c r="G65" s="174"/>
      <c r="H65" s="174"/>
    </row>
    <row r="66" spans="1:8" x14ac:dyDescent="0.3">
      <c r="F66" s="173"/>
      <c r="G66" s="174"/>
      <c r="H66" s="174"/>
    </row>
    <row r="67" spans="1:8" ht="17.399999999999999" x14ac:dyDescent="0.3">
      <c r="A67" s="198" t="s">
        <v>69</v>
      </c>
      <c r="B67" s="198"/>
      <c r="C67" s="198"/>
      <c r="D67" s="198"/>
      <c r="E67" s="17"/>
      <c r="F67" s="183" t="s">
        <v>57</v>
      </c>
      <c r="G67" s="184"/>
      <c r="H67" s="185"/>
    </row>
    <row r="68" spans="1:8" x14ac:dyDescent="0.3">
      <c r="A68" s="21" t="s">
        <v>21</v>
      </c>
      <c r="B68" s="22" t="s">
        <v>22</v>
      </c>
      <c r="C68" s="22" t="s">
        <v>23</v>
      </c>
      <c r="D68" s="23" t="s">
        <v>25</v>
      </c>
      <c r="E68" s="24"/>
      <c r="F68" s="186"/>
      <c r="G68" s="187"/>
      <c r="H68" s="188"/>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78" t="s">
        <v>58</v>
      </c>
      <c r="B84" s="179"/>
      <c r="C84" s="179"/>
      <c r="D84" s="96">
        <f>SUM(Garbage_24[Amount])</f>
        <v>0</v>
      </c>
      <c r="E84" s="34"/>
      <c r="F84" s="173" t="s">
        <v>33</v>
      </c>
      <c r="G84" s="174"/>
      <c r="H84" s="174"/>
    </row>
    <row r="85" spans="1:8" x14ac:dyDescent="0.3">
      <c r="A85" s="38"/>
      <c r="B85" s="38"/>
      <c r="C85" s="38"/>
      <c r="D85" s="39"/>
      <c r="E85" s="40"/>
      <c r="F85" s="173"/>
      <c r="G85" s="174"/>
      <c r="H85" s="174"/>
    </row>
    <row r="86" spans="1:8" ht="17.399999999999999" x14ac:dyDescent="0.3">
      <c r="A86" s="191" t="s">
        <v>59</v>
      </c>
      <c r="B86" s="192"/>
      <c r="C86" s="192"/>
      <c r="D86" s="193"/>
      <c r="E86" s="17"/>
      <c r="F86" s="183" t="s">
        <v>60</v>
      </c>
      <c r="G86" s="184"/>
      <c r="H86" s="185"/>
    </row>
    <row r="87" spans="1:8" x14ac:dyDescent="0.3">
      <c r="A87" s="21" t="s">
        <v>21</v>
      </c>
      <c r="B87" s="22" t="s">
        <v>22</v>
      </c>
      <c r="C87" s="22" t="s">
        <v>23</v>
      </c>
      <c r="D87" s="23" t="s">
        <v>25</v>
      </c>
      <c r="E87" s="41"/>
      <c r="F87" s="186"/>
      <c r="G87" s="187"/>
      <c r="H87" s="188"/>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78" t="s">
        <v>61</v>
      </c>
      <c r="B103" s="179"/>
      <c r="C103" s="179"/>
      <c r="D103" s="96">
        <f>SUM(Boarding_24[Amount])</f>
        <v>0</v>
      </c>
      <c r="E103" s="34"/>
      <c r="F103" s="173" t="s">
        <v>33</v>
      </c>
      <c r="G103" s="174"/>
      <c r="H103" s="174"/>
    </row>
    <row r="104" spans="1:8" x14ac:dyDescent="0.3">
      <c r="A104" s="38"/>
      <c r="B104" s="38"/>
      <c r="C104" s="38"/>
      <c r="D104" s="39"/>
      <c r="E104" s="40"/>
      <c r="F104" s="173"/>
      <c r="G104" s="174"/>
      <c r="H104" s="174"/>
    </row>
    <row r="105" spans="1:8" ht="17.399999999999999" x14ac:dyDescent="0.3">
      <c r="A105" s="191" t="s">
        <v>70</v>
      </c>
      <c r="B105" s="192"/>
      <c r="C105" s="192"/>
      <c r="D105" s="193"/>
      <c r="E105" s="17"/>
      <c r="F105" s="183" t="s">
        <v>62</v>
      </c>
      <c r="G105" s="184"/>
      <c r="H105" s="185"/>
    </row>
    <row r="106" spans="1:8" x14ac:dyDescent="0.3">
      <c r="A106" s="21" t="s">
        <v>21</v>
      </c>
      <c r="B106" s="22" t="s">
        <v>22</v>
      </c>
      <c r="C106" s="22" t="s">
        <v>23</v>
      </c>
      <c r="D106" s="23" t="s">
        <v>25</v>
      </c>
      <c r="E106" s="41"/>
      <c r="F106" s="186"/>
      <c r="G106" s="187"/>
      <c r="H106" s="188"/>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78" t="s">
        <v>63</v>
      </c>
      <c r="B122" s="179"/>
      <c r="C122" s="179"/>
      <c r="D122" s="96">
        <f>SUM(Fence_24[Amount])</f>
        <v>0</v>
      </c>
      <c r="E122" s="34"/>
      <c r="F122" s="173" t="s">
        <v>33</v>
      </c>
      <c r="G122" s="174"/>
      <c r="H122" s="174"/>
    </row>
    <row r="123" spans="1:8" x14ac:dyDescent="0.3">
      <c r="F123" s="173"/>
      <c r="G123" s="174"/>
      <c r="H123" s="174"/>
    </row>
    <row r="124" spans="1:8" ht="17.399999999999999" x14ac:dyDescent="0.3">
      <c r="A124" s="191" t="s">
        <v>26</v>
      </c>
      <c r="B124" s="192"/>
      <c r="C124" s="192"/>
      <c r="D124" s="193"/>
      <c r="E124" s="17"/>
      <c r="F124" s="183" t="s">
        <v>11</v>
      </c>
      <c r="G124" s="184"/>
      <c r="H124" s="185"/>
    </row>
    <row r="125" spans="1:8" x14ac:dyDescent="0.3">
      <c r="A125" s="21" t="s">
        <v>21</v>
      </c>
      <c r="B125" s="22" t="s">
        <v>22</v>
      </c>
      <c r="C125" s="22" t="s">
        <v>23</v>
      </c>
      <c r="D125" s="23" t="s">
        <v>25</v>
      </c>
      <c r="E125" s="41"/>
      <c r="F125" s="186"/>
      <c r="G125" s="187"/>
      <c r="H125" s="188"/>
    </row>
    <row r="126" spans="1:8" x14ac:dyDescent="0.3">
      <c r="A126" s="100"/>
      <c r="B126" s="101"/>
      <c r="C126" s="101">
        <v>17310</v>
      </c>
      <c r="D126" s="112"/>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78" t="s">
        <v>27</v>
      </c>
      <c r="B141" s="179"/>
      <c r="C141" s="179"/>
      <c r="D141" s="96">
        <f>SUM(Demolition_24[Amount])</f>
        <v>0</v>
      </c>
      <c r="E141" s="34"/>
      <c r="F141" s="173" t="s">
        <v>33</v>
      </c>
      <c r="G141" s="174"/>
      <c r="H141" s="174"/>
    </row>
    <row r="142" spans="1:8" x14ac:dyDescent="0.3">
      <c r="A142" s="38"/>
      <c r="B142" s="38"/>
      <c r="C142" s="38"/>
      <c r="D142" s="39"/>
      <c r="E142" s="40"/>
      <c r="F142" s="173"/>
      <c r="G142" s="174"/>
      <c r="H142" s="174"/>
    </row>
    <row r="143" spans="1:8" ht="17.399999999999999" x14ac:dyDescent="0.3">
      <c r="A143" s="191" t="s">
        <v>64</v>
      </c>
      <c r="B143" s="192"/>
      <c r="C143" s="192"/>
      <c r="D143" s="193"/>
      <c r="E143" s="17"/>
      <c r="F143" s="183" t="s">
        <v>44</v>
      </c>
      <c r="G143" s="184"/>
      <c r="H143" s="185"/>
    </row>
    <row r="144" spans="1:8" x14ac:dyDescent="0.3">
      <c r="A144" s="21" t="s">
        <v>21</v>
      </c>
      <c r="B144" s="22" t="s">
        <v>22</v>
      </c>
      <c r="C144" s="22" t="s">
        <v>23</v>
      </c>
      <c r="D144" s="23" t="s">
        <v>25</v>
      </c>
      <c r="E144" s="41"/>
      <c r="F144" s="186"/>
      <c r="G144" s="187"/>
      <c r="H144" s="188"/>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78" t="s">
        <v>65</v>
      </c>
      <c r="B160" s="179"/>
      <c r="C160" s="179"/>
      <c r="D160" s="96">
        <f>SUM(Rehab_24[Amount])</f>
        <v>0</v>
      </c>
      <c r="E160" s="34"/>
      <c r="F160" s="173" t="s">
        <v>33</v>
      </c>
      <c r="G160" s="174"/>
      <c r="H160" s="174"/>
    </row>
    <row r="161" spans="6:8" x14ac:dyDescent="0.3">
      <c r="F161" s="173"/>
      <c r="G161" s="174"/>
      <c r="H161" s="174"/>
    </row>
  </sheetData>
  <sheetProtection algorithmName="SHA-512" hashValue="POwQXd9i69satLzjR2/nweqrmi0VPfu57OAXzn7pyhCoOaHphUi3MDBOxe90pQQMHwdsaY3OhtGzwjxOQ0cL7A==" saltValue="ZUvlhdVvQ1Od0Uw82H/K+Q=="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N161"/>
  <sheetViews>
    <sheetView showGridLines="0" zoomScaleNormal="100" workbookViewId="0">
      <pane ySplit="9" topLeftCell="A118"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5" t="s">
        <v>24</v>
      </c>
      <c r="B1" s="175"/>
      <c r="C1" s="175"/>
      <c r="D1" s="175"/>
      <c r="E1" s="1"/>
      <c r="F1" s="2"/>
      <c r="G1" s="2"/>
      <c r="H1" s="1"/>
    </row>
    <row r="2" spans="1:14" ht="24.9" customHeight="1" x14ac:dyDescent="0.3">
      <c r="A2" s="176" t="s">
        <v>71</v>
      </c>
      <c r="B2" s="176"/>
      <c r="C2" s="176"/>
      <c r="D2" s="176"/>
      <c r="E2" s="4"/>
      <c r="F2" s="97"/>
      <c r="G2" s="97"/>
      <c r="H2" s="5"/>
    </row>
    <row r="3" spans="1:14" ht="31.5" customHeight="1" x14ac:dyDescent="0.3">
      <c r="A3" s="176"/>
      <c r="B3" s="176"/>
      <c r="C3" s="176"/>
      <c r="D3" s="176"/>
      <c r="E3" s="4"/>
      <c r="F3" s="97"/>
      <c r="G3" s="97"/>
      <c r="H3" s="5"/>
    </row>
    <row r="4" spans="1:14" ht="15" customHeight="1" x14ac:dyDescent="0.25">
      <c r="A4" s="75" t="s">
        <v>19</v>
      </c>
      <c r="B4" s="194" t="str">
        <f>IF('Summary Sheet'!B57="","",'Summary Sheet'!B57)</f>
        <v>1431 S KENNETH AVE</v>
      </c>
      <c r="C4" s="194"/>
      <c r="D4" s="97"/>
      <c r="E4" s="4"/>
      <c r="F4" s="97"/>
      <c r="G4" s="97"/>
      <c r="H4" s="5"/>
    </row>
    <row r="5" spans="1:14" ht="15" customHeight="1" x14ac:dyDescent="0.25">
      <c r="A5" s="75" t="s">
        <v>20</v>
      </c>
      <c r="B5" s="195" t="str">
        <f>IF('Summary Sheet'!C57="","",'Summary Sheet'!C57)</f>
        <v/>
      </c>
      <c r="C5" s="195"/>
      <c r="D5" s="97"/>
      <c r="E5" s="4"/>
      <c r="F5" s="97"/>
      <c r="G5" s="97"/>
      <c r="H5" s="5"/>
    </row>
    <row r="6" spans="1:14" ht="15" customHeight="1" x14ac:dyDescent="0.25">
      <c r="A6" s="75" t="s">
        <v>36</v>
      </c>
      <c r="B6" s="177"/>
      <c r="C6" s="177"/>
      <c r="D6" s="6"/>
      <c r="E6" s="7"/>
    </row>
    <row r="7" spans="1:14" ht="15" customHeight="1" x14ac:dyDescent="0.25">
      <c r="A7" s="7"/>
      <c r="B7" s="196" t="s">
        <v>34</v>
      </c>
      <c r="C7" s="196"/>
      <c r="D7" s="10"/>
    </row>
    <row r="8" spans="1:14" ht="20.100000000000001" customHeight="1" x14ac:dyDescent="0.25">
      <c r="B8" s="11"/>
      <c r="C8" s="11"/>
      <c r="D8" s="12" t="s">
        <v>31</v>
      </c>
      <c r="F8" s="180" t="s">
        <v>32</v>
      </c>
      <c r="G8" s="181"/>
      <c r="H8" s="182"/>
    </row>
    <row r="9" spans="1:14" s="14" customFormat="1" ht="20.100000000000001" customHeight="1" x14ac:dyDescent="0.25">
      <c r="A9" s="197"/>
      <c r="B9" s="197"/>
      <c r="C9" s="197"/>
      <c r="D9" s="13">
        <f>SUM(D27,D46,D65,D84,D103,D122,D141,D160)</f>
        <v>60510</v>
      </c>
      <c r="F9" s="15" t="s">
        <v>28</v>
      </c>
      <c r="G9" s="15" t="s">
        <v>29</v>
      </c>
      <c r="H9" s="15" t="s">
        <v>30</v>
      </c>
      <c r="I9" s="16"/>
      <c r="J9" s="16"/>
      <c r="K9" s="16"/>
      <c r="L9" s="16"/>
      <c r="M9" s="16"/>
      <c r="N9" s="16"/>
    </row>
    <row r="10" spans="1:14" s="17" customFormat="1" ht="23.1" customHeight="1" x14ac:dyDescent="0.3">
      <c r="A10" s="198" t="s">
        <v>51</v>
      </c>
      <c r="B10" s="198"/>
      <c r="C10" s="198"/>
      <c r="D10" s="198"/>
      <c r="F10" s="183" t="s">
        <v>66</v>
      </c>
      <c r="G10" s="184"/>
      <c r="H10" s="185"/>
      <c r="I10" s="18"/>
      <c r="J10" s="18"/>
      <c r="K10" s="18"/>
      <c r="L10" s="18"/>
      <c r="M10" s="19"/>
      <c r="N10" s="20"/>
    </row>
    <row r="11" spans="1:14" s="24" customFormat="1" ht="12.75" customHeight="1" x14ac:dyDescent="0.25">
      <c r="A11" s="21" t="s">
        <v>21</v>
      </c>
      <c r="B11" s="22" t="s">
        <v>22</v>
      </c>
      <c r="C11" s="22" t="s">
        <v>23</v>
      </c>
      <c r="D11" s="23" t="s">
        <v>25</v>
      </c>
      <c r="F11" s="186"/>
      <c r="G11" s="187"/>
      <c r="H11" s="188"/>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29"/>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78" t="s">
        <v>53</v>
      </c>
      <c r="B27" s="179"/>
      <c r="C27" s="179"/>
      <c r="D27" s="96">
        <f>SUM(Grass_25[Amount])</f>
        <v>0</v>
      </c>
      <c r="F27" s="173" t="s">
        <v>33</v>
      </c>
      <c r="G27" s="174"/>
      <c r="H27" s="174"/>
      <c r="I27" s="35"/>
      <c r="J27" s="35"/>
      <c r="K27" s="35"/>
      <c r="L27" s="35"/>
      <c r="M27" s="36"/>
      <c r="N27" s="37"/>
    </row>
    <row r="28" spans="1:14" s="40" customFormat="1" ht="11.1" customHeight="1" x14ac:dyDescent="0.3">
      <c r="A28" s="38"/>
      <c r="B28" s="38"/>
      <c r="C28" s="38"/>
      <c r="D28" s="39"/>
      <c r="F28" s="173"/>
      <c r="G28" s="174"/>
      <c r="H28" s="174"/>
      <c r="I28" s="35"/>
      <c r="J28" s="35"/>
      <c r="K28" s="35"/>
      <c r="L28" s="35"/>
      <c r="M28" s="36"/>
      <c r="N28" s="37"/>
    </row>
    <row r="29" spans="1:14" s="17" customFormat="1" ht="23.1" customHeight="1" x14ac:dyDescent="0.3">
      <c r="A29" s="191" t="s">
        <v>67</v>
      </c>
      <c r="B29" s="192"/>
      <c r="C29" s="192"/>
      <c r="D29" s="193"/>
      <c r="F29" s="183" t="s">
        <v>52</v>
      </c>
      <c r="G29" s="184"/>
      <c r="H29" s="185"/>
      <c r="I29" s="18"/>
      <c r="J29" s="18"/>
      <c r="K29" s="18"/>
      <c r="L29" s="18"/>
      <c r="M29" s="19"/>
      <c r="N29" s="20"/>
    </row>
    <row r="30" spans="1:14" s="41" customFormat="1" ht="12.75" customHeight="1" x14ac:dyDescent="0.25">
      <c r="A30" s="21" t="s">
        <v>21</v>
      </c>
      <c r="B30" s="22" t="s">
        <v>22</v>
      </c>
      <c r="C30" s="22" t="s">
        <v>23</v>
      </c>
      <c r="D30" s="23" t="s">
        <v>25</v>
      </c>
      <c r="F30" s="186"/>
      <c r="G30" s="187"/>
      <c r="H30" s="188"/>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98"/>
      <c r="J44" s="29"/>
      <c r="K44" s="29"/>
      <c r="L44" s="98"/>
      <c r="M44" s="30"/>
      <c r="N44" s="16"/>
    </row>
    <row r="45" spans="1:14" x14ac:dyDescent="0.3">
      <c r="A45" s="106"/>
      <c r="B45" s="107"/>
      <c r="C45" s="107"/>
      <c r="D45" s="114"/>
      <c r="F45" s="103"/>
      <c r="G45" s="104"/>
      <c r="H45" s="109"/>
      <c r="I45" s="98"/>
      <c r="J45" s="29"/>
      <c r="K45" s="29"/>
      <c r="L45" s="98"/>
      <c r="M45" s="30"/>
      <c r="N45" s="16"/>
    </row>
    <row r="46" spans="1:14" s="34" customFormat="1" x14ac:dyDescent="0.3">
      <c r="A46" s="178" t="s">
        <v>54</v>
      </c>
      <c r="B46" s="179"/>
      <c r="C46" s="179"/>
      <c r="D46" s="96">
        <f>SUM(Tree_25[Amount])</f>
        <v>0</v>
      </c>
      <c r="F46" s="173" t="s">
        <v>33</v>
      </c>
      <c r="G46" s="174"/>
      <c r="H46" s="174"/>
      <c r="I46" s="43"/>
      <c r="J46" s="43"/>
      <c r="K46" s="43"/>
      <c r="L46" s="43"/>
      <c r="M46" s="36"/>
      <c r="N46" s="37"/>
    </row>
    <row r="47" spans="1:14" s="40" customFormat="1" ht="11.1" customHeight="1" x14ac:dyDescent="0.3">
      <c r="A47" s="38"/>
      <c r="B47" s="38"/>
      <c r="C47" s="38"/>
      <c r="D47" s="39"/>
      <c r="F47" s="173"/>
      <c r="G47" s="174"/>
      <c r="H47" s="174"/>
      <c r="I47" s="43"/>
      <c r="J47" s="43"/>
      <c r="K47" s="43"/>
      <c r="L47" s="43"/>
      <c r="M47" s="36"/>
      <c r="N47" s="37"/>
    </row>
    <row r="48" spans="1:14" s="17" customFormat="1" ht="23.1" customHeight="1" x14ac:dyDescent="0.3">
      <c r="A48" s="191" t="s">
        <v>68</v>
      </c>
      <c r="B48" s="192"/>
      <c r="C48" s="192"/>
      <c r="D48" s="193"/>
      <c r="F48" s="183" t="s">
        <v>55</v>
      </c>
      <c r="G48" s="184"/>
      <c r="H48" s="185"/>
      <c r="I48" s="44"/>
      <c r="J48" s="44"/>
      <c r="K48" s="44"/>
      <c r="L48" s="44"/>
      <c r="M48" s="19"/>
      <c r="N48" s="20"/>
    </row>
    <row r="49" spans="1:14" s="41" customFormat="1" ht="12.75" customHeight="1" x14ac:dyDescent="0.25">
      <c r="A49" s="21" t="s">
        <v>21</v>
      </c>
      <c r="B49" s="22" t="s">
        <v>22</v>
      </c>
      <c r="C49" s="22" t="s">
        <v>23</v>
      </c>
      <c r="D49" s="23" t="s">
        <v>25</v>
      </c>
      <c r="F49" s="186"/>
      <c r="G49" s="187"/>
      <c r="H49" s="188"/>
      <c r="I49" s="98"/>
      <c r="J49" s="98"/>
      <c r="K49" s="98"/>
      <c r="L49" s="98"/>
      <c r="M49" s="30"/>
      <c r="N49" s="42"/>
    </row>
    <row r="50" spans="1:14" x14ac:dyDescent="0.3">
      <c r="A50" s="100"/>
      <c r="B50" s="101"/>
      <c r="C50" s="101"/>
      <c r="D50" s="112"/>
      <c r="F50" s="103"/>
      <c r="G50" s="104"/>
      <c r="H50" s="109"/>
      <c r="I50" s="98"/>
      <c r="J50" s="98"/>
      <c r="K50" s="98"/>
      <c r="L50" s="98"/>
      <c r="M50" s="30"/>
      <c r="N50" s="16"/>
    </row>
    <row r="51" spans="1:14" x14ac:dyDescent="0.3">
      <c r="A51" s="106"/>
      <c r="B51" s="107"/>
      <c r="C51" s="107"/>
      <c r="D51" s="113"/>
      <c r="F51" s="103"/>
      <c r="G51" s="104"/>
      <c r="H51" s="109"/>
      <c r="I51" s="98"/>
      <c r="J51" s="98"/>
      <c r="K51" s="98"/>
      <c r="L51" s="98"/>
      <c r="M51" s="30"/>
      <c r="N51" s="16"/>
    </row>
    <row r="52" spans="1:14" x14ac:dyDescent="0.3">
      <c r="A52" s="106"/>
      <c r="B52" s="107"/>
      <c r="C52" s="107"/>
      <c r="D52" s="114"/>
      <c r="F52" s="103"/>
      <c r="H52" s="109"/>
      <c r="I52" s="98"/>
      <c r="J52" s="98"/>
      <c r="K52" s="98"/>
      <c r="L52" s="98"/>
      <c r="M52" s="30"/>
      <c r="N52" s="16"/>
    </row>
    <row r="53" spans="1:14" x14ac:dyDescent="0.3">
      <c r="A53" s="106"/>
      <c r="B53" s="107"/>
      <c r="C53" s="107"/>
      <c r="D53" s="113"/>
      <c r="F53" s="103"/>
      <c r="G53" s="104"/>
      <c r="H53" s="109"/>
      <c r="I53" s="98"/>
      <c r="J53" s="98"/>
      <c r="K53" s="98"/>
      <c r="L53" s="98"/>
      <c r="M53" s="30"/>
      <c r="N53" s="16"/>
    </row>
    <row r="54" spans="1:14" x14ac:dyDescent="0.3">
      <c r="A54" s="106"/>
      <c r="B54" s="107"/>
      <c r="C54" s="107"/>
      <c r="D54" s="114"/>
      <c r="F54" s="103"/>
      <c r="G54" s="104"/>
      <c r="H54" s="109"/>
      <c r="I54" s="98"/>
      <c r="J54" s="98"/>
      <c r="K54" s="98"/>
      <c r="L54" s="98"/>
      <c r="M54" s="30"/>
      <c r="N54" s="16"/>
    </row>
    <row r="55" spans="1:14" x14ac:dyDescent="0.3">
      <c r="A55" s="106"/>
      <c r="B55" s="107"/>
      <c r="C55" s="107"/>
      <c r="D55" s="113"/>
      <c r="F55" s="103"/>
      <c r="G55" s="104"/>
      <c r="H55" s="109"/>
      <c r="I55" s="98"/>
      <c r="J55" s="98"/>
      <c r="K55" s="98"/>
      <c r="L55" s="98"/>
      <c r="M55" s="30"/>
      <c r="N55" s="16"/>
    </row>
    <row r="56" spans="1:14" x14ac:dyDescent="0.3">
      <c r="A56" s="106"/>
      <c r="B56" s="107"/>
      <c r="C56" s="107"/>
      <c r="D56" s="114"/>
      <c r="F56" s="103"/>
      <c r="G56" s="104"/>
      <c r="H56" s="109"/>
      <c r="I56" s="98"/>
      <c r="J56" s="98"/>
      <c r="K56" s="98"/>
      <c r="L56" s="98"/>
      <c r="M56" s="30"/>
      <c r="N56" s="16"/>
    </row>
    <row r="57" spans="1:14" x14ac:dyDescent="0.3">
      <c r="A57" s="106"/>
      <c r="B57" s="107"/>
      <c r="C57" s="107"/>
      <c r="D57" s="113"/>
      <c r="F57" s="103"/>
      <c r="G57" s="104"/>
      <c r="H57" s="109"/>
      <c r="I57" s="98"/>
      <c r="J57" s="98"/>
      <c r="K57" s="98"/>
      <c r="L57" s="98"/>
      <c r="M57" s="30"/>
      <c r="N57" s="16"/>
    </row>
    <row r="58" spans="1:14" x14ac:dyDescent="0.3">
      <c r="A58" s="106"/>
      <c r="B58" s="107"/>
      <c r="C58" s="107"/>
      <c r="D58" s="114"/>
      <c r="F58" s="103"/>
      <c r="G58" s="104"/>
      <c r="H58" s="109"/>
      <c r="I58" s="98"/>
      <c r="J58" s="98"/>
      <c r="K58" s="98"/>
      <c r="L58" s="98"/>
      <c r="M58" s="30"/>
      <c r="N58" s="16"/>
    </row>
    <row r="59" spans="1:14" x14ac:dyDescent="0.3">
      <c r="A59" s="106"/>
      <c r="B59" s="107"/>
      <c r="C59" s="107"/>
      <c r="D59" s="113"/>
      <c r="F59" s="103"/>
      <c r="G59" s="104"/>
      <c r="H59" s="109"/>
      <c r="I59" s="98"/>
      <c r="J59" s="190"/>
      <c r="K59" s="190"/>
      <c r="L59" s="98"/>
      <c r="M59" s="30"/>
      <c r="N59" s="16"/>
    </row>
    <row r="60" spans="1:14" x14ac:dyDescent="0.3">
      <c r="A60" s="106"/>
      <c r="B60" s="107"/>
      <c r="C60" s="107"/>
      <c r="D60" s="114"/>
      <c r="F60" s="103"/>
      <c r="G60" s="104"/>
      <c r="H60" s="109"/>
      <c r="I60" s="189"/>
      <c r="J60" s="189"/>
      <c r="K60" s="189"/>
      <c r="L60" s="189"/>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78" t="s">
        <v>56</v>
      </c>
      <c r="B65" s="179"/>
      <c r="C65" s="179"/>
      <c r="D65" s="96">
        <f>SUM(Pest_25[Amount])</f>
        <v>0</v>
      </c>
      <c r="F65" s="173" t="s">
        <v>33</v>
      </c>
      <c r="G65" s="174"/>
      <c r="H65" s="174"/>
    </row>
    <row r="66" spans="1:8" x14ac:dyDescent="0.3">
      <c r="F66" s="173"/>
      <c r="G66" s="174"/>
      <c r="H66" s="174"/>
    </row>
    <row r="67" spans="1:8" ht="17.399999999999999" x14ac:dyDescent="0.3">
      <c r="A67" s="198" t="s">
        <v>69</v>
      </c>
      <c r="B67" s="198"/>
      <c r="C67" s="198"/>
      <c r="D67" s="198"/>
      <c r="E67" s="17"/>
      <c r="F67" s="183" t="s">
        <v>57</v>
      </c>
      <c r="G67" s="184"/>
      <c r="H67" s="185"/>
    </row>
    <row r="68" spans="1:8" x14ac:dyDescent="0.3">
      <c r="A68" s="21" t="s">
        <v>21</v>
      </c>
      <c r="B68" s="22" t="s">
        <v>22</v>
      </c>
      <c r="C68" s="22" t="s">
        <v>23</v>
      </c>
      <c r="D68" s="23" t="s">
        <v>25</v>
      </c>
      <c r="E68" s="24"/>
      <c r="F68" s="186"/>
      <c r="G68" s="187"/>
      <c r="H68" s="188"/>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78" t="s">
        <v>58</v>
      </c>
      <c r="B84" s="179"/>
      <c r="C84" s="179"/>
      <c r="D84" s="96">
        <f>SUM(Garbage_25[Amount])</f>
        <v>0</v>
      </c>
      <c r="E84" s="34"/>
      <c r="F84" s="173" t="s">
        <v>33</v>
      </c>
      <c r="G84" s="174"/>
      <c r="H84" s="174"/>
    </row>
    <row r="85" spans="1:8" x14ac:dyDescent="0.3">
      <c r="A85" s="38"/>
      <c r="B85" s="38"/>
      <c r="C85" s="38"/>
      <c r="D85" s="39"/>
      <c r="E85" s="40"/>
      <c r="F85" s="173"/>
      <c r="G85" s="174"/>
      <c r="H85" s="174"/>
    </row>
    <row r="86" spans="1:8" ht="17.399999999999999" x14ac:dyDescent="0.3">
      <c r="A86" s="191" t="s">
        <v>59</v>
      </c>
      <c r="B86" s="192"/>
      <c r="C86" s="192"/>
      <c r="D86" s="193"/>
      <c r="E86" s="17"/>
      <c r="F86" s="183" t="s">
        <v>60</v>
      </c>
      <c r="G86" s="184"/>
      <c r="H86" s="185"/>
    </row>
    <row r="87" spans="1:8" x14ac:dyDescent="0.3">
      <c r="A87" s="21" t="s">
        <v>21</v>
      </c>
      <c r="B87" s="22" t="s">
        <v>22</v>
      </c>
      <c r="C87" s="22" t="s">
        <v>23</v>
      </c>
      <c r="D87" s="23" t="s">
        <v>25</v>
      </c>
      <c r="E87" s="41"/>
      <c r="F87" s="186"/>
      <c r="G87" s="187"/>
      <c r="H87" s="188"/>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78" t="s">
        <v>61</v>
      </c>
      <c r="B103" s="179"/>
      <c r="C103" s="179"/>
      <c r="D103" s="96">
        <f>SUM(Boarding_25[Amount])</f>
        <v>0</v>
      </c>
      <c r="E103" s="34"/>
      <c r="F103" s="173" t="s">
        <v>33</v>
      </c>
      <c r="G103" s="174"/>
      <c r="H103" s="174"/>
    </row>
    <row r="104" spans="1:8" x14ac:dyDescent="0.3">
      <c r="A104" s="38"/>
      <c r="B104" s="38"/>
      <c r="C104" s="38"/>
      <c r="D104" s="39"/>
      <c r="E104" s="40"/>
      <c r="F104" s="173"/>
      <c r="G104" s="174"/>
      <c r="H104" s="174"/>
    </row>
    <row r="105" spans="1:8" ht="17.399999999999999" x14ac:dyDescent="0.3">
      <c r="A105" s="191" t="s">
        <v>70</v>
      </c>
      <c r="B105" s="192"/>
      <c r="C105" s="192"/>
      <c r="D105" s="193"/>
      <c r="E105" s="17"/>
      <c r="F105" s="183" t="s">
        <v>62</v>
      </c>
      <c r="G105" s="184"/>
      <c r="H105" s="185"/>
    </row>
    <row r="106" spans="1:8" x14ac:dyDescent="0.3">
      <c r="A106" s="21" t="s">
        <v>21</v>
      </c>
      <c r="B106" s="22" t="s">
        <v>22</v>
      </c>
      <c r="C106" s="22" t="s">
        <v>23</v>
      </c>
      <c r="D106" s="23" t="s">
        <v>25</v>
      </c>
      <c r="E106" s="41"/>
      <c r="F106" s="186"/>
      <c r="G106" s="187"/>
      <c r="H106" s="188"/>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78" t="s">
        <v>63</v>
      </c>
      <c r="B122" s="179"/>
      <c r="C122" s="179"/>
      <c r="D122" s="96">
        <f>SUM(Fence_25[Amount])</f>
        <v>0</v>
      </c>
      <c r="E122" s="34"/>
      <c r="F122" s="173" t="s">
        <v>33</v>
      </c>
      <c r="G122" s="174"/>
      <c r="H122" s="174"/>
    </row>
    <row r="123" spans="1:8" x14ac:dyDescent="0.3">
      <c r="F123" s="173"/>
      <c r="G123" s="174"/>
      <c r="H123" s="174"/>
    </row>
    <row r="124" spans="1:8" ht="17.399999999999999" x14ac:dyDescent="0.3">
      <c r="A124" s="191" t="s">
        <v>26</v>
      </c>
      <c r="B124" s="192"/>
      <c r="C124" s="192"/>
      <c r="D124" s="193"/>
      <c r="E124" s="17"/>
      <c r="F124" s="183" t="s">
        <v>11</v>
      </c>
      <c r="G124" s="184"/>
      <c r="H124" s="185"/>
    </row>
    <row r="125" spans="1:8" x14ac:dyDescent="0.3">
      <c r="A125" s="21" t="s">
        <v>21</v>
      </c>
      <c r="B125" s="22" t="s">
        <v>22</v>
      </c>
      <c r="C125" s="22" t="s">
        <v>23</v>
      </c>
      <c r="D125" s="23" t="s">
        <v>25</v>
      </c>
      <c r="E125" s="41"/>
      <c r="F125" s="186"/>
      <c r="G125" s="187"/>
      <c r="H125" s="188"/>
    </row>
    <row r="126" spans="1:8" x14ac:dyDescent="0.3">
      <c r="A126" s="100"/>
      <c r="B126" s="101"/>
      <c r="C126" s="101"/>
      <c r="D126" s="112">
        <v>60510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78" t="s">
        <v>27</v>
      </c>
      <c r="B141" s="179"/>
      <c r="C141" s="179"/>
      <c r="D141" s="96">
        <f>SUM(Demolition_25[Amount])</f>
        <v>60510</v>
      </c>
      <c r="E141" s="34"/>
      <c r="F141" s="173" t="s">
        <v>33</v>
      </c>
      <c r="G141" s="174"/>
      <c r="H141" s="174"/>
    </row>
    <row r="142" spans="1:8" x14ac:dyDescent="0.3">
      <c r="A142" s="38"/>
      <c r="B142" s="38"/>
      <c r="C142" s="38"/>
      <c r="D142" s="39"/>
      <c r="E142" s="40"/>
      <c r="F142" s="173"/>
      <c r="G142" s="174"/>
      <c r="H142" s="174"/>
    </row>
    <row r="143" spans="1:8" ht="17.399999999999999" x14ac:dyDescent="0.3">
      <c r="A143" s="191" t="s">
        <v>64</v>
      </c>
      <c r="B143" s="192"/>
      <c r="C143" s="192"/>
      <c r="D143" s="193"/>
      <c r="E143" s="17"/>
      <c r="F143" s="183" t="s">
        <v>44</v>
      </c>
      <c r="G143" s="184"/>
      <c r="H143" s="185"/>
    </row>
    <row r="144" spans="1:8" x14ac:dyDescent="0.3">
      <c r="A144" s="21" t="s">
        <v>21</v>
      </c>
      <c r="B144" s="22" t="s">
        <v>22</v>
      </c>
      <c r="C144" s="22" t="s">
        <v>23</v>
      </c>
      <c r="D144" s="23" t="s">
        <v>25</v>
      </c>
      <c r="E144" s="41"/>
      <c r="F144" s="186"/>
      <c r="G144" s="187"/>
      <c r="H144" s="188"/>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78" t="s">
        <v>65</v>
      </c>
      <c r="B160" s="179"/>
      <c r="C160" s="179"/>
      <c r="D160" s="96">
        <f>SUM(Rehab_25[Amount])</f>
        <v>0</v>
      </c>
      <c r="E160" s="34"/>
      <c r="F160" s="173" t="s">
        <v>33</v>
      </c>
      <c r="G160" s="174"/>
      <c r="H160" s="174"/>
    </row>
    <row r="161" spans="6:8" x14ac:dyDescent="0.3">
      <c r="F161" s="173"/>
      <c r="G161" s="174"/>
      <c r="H161" s="174"/>
    </row>
  </sheetData>
  <sheetProtection algorithmName="SHA-512" hashValue="XlHDbMSI527oO7VhYqiAzP0ozkpqvEmiayp38U4tyG8mHa4jJVPeYIcuSZouOjwwZaRQYXN5F28Sr/2ztJqbPQ==" saltValue="gbP/FGKdtAMzCd58Y9CLyw==" spinCount="100000" sheet="1" insertRows="0" deleteRows="0"/>
  <protectedRanges>
    <protectedRange sqref="A12:A26 C12:D26 B12:B16 B18:B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N161"/>
  <sheetViews>
    <sheetView showGridLines="0" zoomScaleNormal="100" workbookViewId="0">
      <pane ySplit="9" topLeftCell="A115"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5" t="s">
        <v>24</v>
      </c>
      <c r="B1" s="175"/>
      <c r="C1" s="175"/>
      <c r="D1" s="175"/>
      <c r="E1" s="1"/>
      <c r="F1" s="2"/>
      <c r="G1" s="2"/>
      <c r="H1" s="1"/>
    </row>
    <row r="2" spans="1:14" ht="24.9" customHeight="1" x14ac:dyDescent="0.3">
      <c r="A2" s="176" t="s">
        <v>71</v>
      </c>
      <c r="B2" s="176"/>
      <c r="C2" s="176"/>
      <c r="D2" s="176"/>
      <c r="E2" s="4"/>
      <c r="F2" s="97"/>
      <c r="G2" s="97"/>
      <c r="H2" s="5"/>
    </row>
    <row r="3" spans="1:14" ht="31.5" customHeight="1" x14ac:dyDescent="0.3">
      <c r="A3" s="176"/>
      <c r="B3" s="176"/>
      <c r="C3" s="176"/>
      <c r="D3" s="176"/>
      <c r="E3" s="4"/>
      <c r="F3" s="97"/>
      <c r="G3" s="97"/>
      <c r="H3" s="5"/>
    </row>
    <row r="4" spans="1:14" ht="15" customHeight="1" x14ac:dyDescent="0.25">
      <c r="A4" s="75" t="s">
        <v>19</v>
      </c>
      <c r="B4" s="194" t="str">
        <f>IF('Summary Sheet'!B58="","",'Summary Sheet'!B58)</f>
        <v>143 E 117TH PL</v>
      </c>
      <c r="C4" s="194"/>
      <c r="D4" s="97"/>
      <c r="E4" s="4"/>
      <c r="F4" s="97"/>
      <c r="G4" s="97"/>
      <c r="H4" s="5"/>
    </row>
    <row r="5" spans="1:14" ht="15" customHeight="1" x14ac:dyDescent="0.25">
      <c r="A5" s="75" t="s">
        <v>20</v>
      </c>
      <c r="B5" s="195" t="str">
        <f>IF('Summary Sheet'!C58="","",'Summary Sheet'!C58)</f>
        <v/>
      </c>
      <c r="C5" s="195"/>
      <c r="D5" s="97"/>
      <c r="E5" s="4"/>
      <c r="F5" s="97"/>
      <c r="G5" s="97"/>
      <c r="H5" s="5"/>
    </row>
    <row r="6" spans="1:14" ht="15" customHeight="1" x14ac:dyDescent="0.25">
      <c r="A6" s="75" t="s">
        <v>36</v>
      </c>
      <c r="B6" s="177"/>
      <c r="C6" s="177"/>
      <c r="D6" s="6"/>
      <c r="E6" s="7"/>
    </row>
    <row r="7" spans="1:14" ht="15" customHeight="1" x14ac:dyDescent="0.25">
      <c r="A7" s="7"/>
      <c r="B7" s="196" t="s">
        <v>34</v>
      </c>
      <c r="C7" s="196"/>
      <c r="D7" s="10"/>
    </row>
    <row r="8" spans="1:14" ht="20.100000000000001" customHeight="1" x14ac:dyDescent="0.25">
      <c r="B8" s="11"/>
      <c r="C8" s="11"/>
      <c r="D8" s="12" t="s">
        <v>31</v>
      </c>
      <c r="F8" s="180" t="s">
        <v>32</v>
      </c>
      <c r="G8" s="181"/>
      <c r="H8" s="182"/>
    </row>
    <row r="9" spans="1:14" s="14" customFormat="1" ht="20.100000000000001" customHeight="1" x14ac:dyDescent="0.25">
      <c r="A9" s="197"/>
      <c r="B9" s="197"/>
      <c r="C9" s="197"/>
      <c r="D9" s="13">
        <f>SUM(D27,D46,D65,D84,D103,D122,D141,D160)</f>
        <v>18810</v>
      </c>
      <c r="F9" s="15" t="s">
        <v>28</v>
      </c>
      <c r="G9" s="15" t="s">
        <v>29</v>
      </c>
      <c r="H9" s="15" t="s">
        <v>30</v>
      </c>
      <c r="I9" s="16"/>
      <c r="J9" s="16"/>
      <c r="K9" s="16"/>
      <c r="L9" s="16"/>
      <c r="M9" s="16"/>
      <c r="N9" s="16"/>
    </row>
    <row r="10" spans="1:14" s="17" customFormat="1" ht="23.1" customHeight="1" x14ac:dyDescent="0.3">
      <c r="A10" s="198" t="s">
        <v>51</v>
      </c>
      <c r="B10" s="198"/>
      <c r="C10" s="198"/>
      <c r="D10" s="198"/>
      <c r="F10" s="183" t="s">
        <v>66</v>
      </c>
      <c r="G10" s="184"/>
      <c r="H10" s="185"/>
      <c r="I10" s="18"/>
      <c r="J10" s="18"/>
      <c r="K10" s="18"/>
      <c r="L10" s="18"/>
      <c r="M10" s="19"/>
      <c r="N10" s="20"/>
    </row>
    <row r="11" spans="1:14" s="24" customFormat="1" ht="12.75" customHeight="1" x14ac:dyDescent="0.25">
      <c r="A11" s="21" t="s">
        <v>21</v>
      </c>
      <c r="B11" s="22" t="s">
        <v>22</v>
      </c>
      <c r="C11" s="22" t="s">
        <v>23</v>
      </c>
      <c r="D11" s="23" t="s">
        <v>25</v>
      </c>
      <c r="F11" s="186"/>
      <c r="G11" s="187"/>
      <c r="H11" s="188"/>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78" t="s">
        <v>53</v>
      </c>
      <c r="B27" s="179"/>
      <c r="C27" s="179"/>
      <c r="D27" s="96">
        <f>SUM(Grass_26[Amount])</f>
        <v>0</v>
      </c>
      <c r="F27" s="173" t="s">
        <v>33</v>
      </c>
      <c r="G27" s="174"/>
      <c r="H27" s="174"/>
      <c r="I27" s="35"/>
      <c r="J27" s="35"/>
      <c r="K27" s="35"/>
      <c r="L27" s="35"/>
      <c r="M27" s="36"/>
      <c r="N27" s="37"/>
    </row>
    <row r="28" spans="1:14" s="40" customFormat="1" ht="11.1" customHeight="1" x14ac:dyDescent="0.3">
      <c r="A28" s="38"/>
      <c r="B28" s="38"/>
      <c r="C28" s="38"/>
      <c r="D28" s="39"/>
      <c r="F28" s="173"/>
      <c r="G28" s="174"/>
      <c r="H28" s="174"/>
      <c r="I28" s="35"/>
      <c r="J28" s="35"/>
      <c r="K28" s="35"/>
      <c r="L28" s="35"/>
      <c r="M28" s="36"/>
      <c r="N28" s="37"/>
    </row>
    <row r="29" spans="1:14" s="17" customFormat="1" ht="23.1" customHeight="1" x14ac:dyDescent="0.3">
      <c r="A29" s="191" t="s">
        <v>67</v>
      </c>
      <c r="B29" s="192"/>
      <c r="C29" s="192"/>
      <c r="D29" s="193"/>
      <c r="F29" s="183" t="s">
        <v>52</v>
      </c>
      <c r="G29" s="184"/>
      <c r="H29" s="185"/>
      <c r="I29" s="18"/>
      <c r="J29" s="18"/>
      <c r="K29" s="18"/>
      <c r="L29" s="18"/>
      <c r="M29" s="19"/>
      <c r="N29" s="20"/>
    </row>
    <row r="30" spans="1:14" s="41" customFormat="1" ht="12.75" customHeight="1" x14ac:dyDescent="0.25">
      <c r="A30" s="21" t="s">
        <v>21</v>
      </c>
      <c r="B30" s="22" t="s">
        <v>22</v>
      </c>
      <c r="C30" s="22" t="s">
        <v>23</v>
      </c>
      <c r="D30" s="23" t="s">
        <v>25</v>
      </c>
      <c r="F30" s="186"/>
      <c r="G30" s="187"/>
      <c r="H30" s="188"/>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98"/>
      <c r="J44" s="29"/>
      <c r="K44" s="29"/>
      <c r="L44" s="98"/>
      <c r="M44" s="30"/>
      <c r="N44" s="16"/>
    </row>
    <row r="45" spans="1:14" x14ac:dyDescent="0.3">
      <c r="A45" s="106"/>
      <c r="B45" s="107"/>
      <c r="C45" s="107"/>
      <c r="D45" s="114"/>
      <c r="F45" s="103"/>
      <c r="G45" s="104"/>
      <c r="H45" s="109"/>
      <c r="I45" s="98"/>
      <c r="J45" s="29"/>
      <c r="K45" s="29"/>
      <c r="L45" s="98"/>
      <c r="M45" s="30"/>
      <c r="N45" s="16"/>
    </row>
    <row r="46" spans="1:14" s="34" customFormat="1" x14ac:dyDescent="0.3">
      <c r="A46" s="178" t="s">
        <v>54</v>
      </c>
      <c r="B46" s="179"/>
      <c r="C46" s="179"/>
      <c r="D46" s="96">
        <f>SUM(Tree_26[Amount])</f>
        <v>0</v>
      </c>
      <c r="F46" s="173" t="s">
        <v>33</v>
      </c>
      <c r="G46" s="174"/>
      <c r="H46" s="174"/>
      <c r="I46" s="43"/>
      <c r="J46" s="43"/>
      <c r="K46" s="43"/>
      <c r="L46" s="43"/>
      <c r="M46" s="36"/>
      <c r="N46" s="37"/>
    </row>
    <row r="47" spans="1:14" s="40" customFormat="1" ht="11.1" customHeight="1" x14ac:dyDescent="0.3">
      <c r="A47" s="38"/>
      <c r="B47" s="38"/>
      <c r="C47" s="38"/>
      <c r="D47" s="39"/>
      <c r="F47" s="173"/>
      <c r="G47" s="174"/>
      <c r="H47" s="174"/>
      <c r="I47" s="43"/>
      <c r="J47" s="43"/>
      <c r="K47" s="43"/>
      <c r="L47" s="43"/>
      <c r="M47" s="36"/>
      <c r="N47" s="37"/>
    </row>
    <row r="48" spans="1:14" s="17" customFormat="1" ht="23.1" customHeight="1" x14ac:dyDescent="0.3">
      <c r="A48" s="191" t="s">
        <v>68</v>
      </c>
      <c r="B48" s="192"/>
      <c r="C48" s="192"/>
      <c r="D48" s="193"/>
      <c r="F48" s="183" t="s">
        <v>55</v>
      </c>
      <c r="G48" s="184"/>
      <c r="H48" s="185"/>
      <c r="I48" s="44"/>
      <c r="J48" s="44"/>
      <c r="K48" s="44"/>
      <c r="L48" s="44"/>
      <c r="M48" s="19"/>
      <c r="N48" s="20"/>
    </row>
    <row r="49" spans="1:14" s="41" customFormat="1" ht="12.75" customHeight="1" x14ac:dyDescent="0.25">
      <c r="A49" s="21" t="s">
        <v>21</v>
      </c>
      <c r="B49" s="22" t="s">
        <v>22</v>
      </c>
      <c r="C49" s="22" t="s">
        <v>23</v>
      </c>
      <c r="D49" s="23" t="s">
        <v>25</v>
      </c>
      <c r="F49" s="186"/>
      <c r="G49" s="187"/>
      <c r="H49" s="188"/>
      <c r="I49" s="98"/>
      <c r="J49" s="98"/>
      <c r="K49" s="98"/>
      <c r="L49" s="98"/>
      <c r="M49" s="30"/>
      <c r="N49" s="42"/>
    </row>
    <row r="50" spans="1:14" x14ac:dyDescent="0.3">
      <c r="A50" s="100"/>
      <c r="B50" s="101"/>
      <c r="C50" s="101"/>
      <c r="D50" s="112"/>
      <c r="F50" s="103"/>
      <c r="G50" s="104"/>
      <c r="H50" s="109"/>
      <c r="I50" s="98"/>
      <c r="J50" s="98"/>
      <c r="K50" s="98"/>
      <c r="L50" s="98"/>
      <c r="M50" s="30"/>
      <c r="N50" s="16"/>
    </row>
    <row r="51" spans="1:14" x14ac:dyDescent="0.3">
      <c r="A51" s="106"/>
      <c r="B51" s="107"/>
      <c r="C51" s="107"/>
      <c r="D51" s="113"/>
      <c r="F51" s="103"/>
      <c r="G51" s="104"/>
      <c r="H51" s="109"/>
      <c r="I51" s="98"/>
      <c r="J51" s="98"/>
      <c r="K51" s="98"/>
      <c r="L51" s="98"/>
      <c r="M51" s="30"/>
      <c r="N51" s="16"/>
    </row>
    <row r="52" spans="1:14" x14ac:dyDescent="0.3">
      <c r="A52" s="106"/>
      <c r="B52" s="107"/>
      <c r="C52" s="107"/>
      <c r="D52" s="114"/>
      <c r="F52" s="103"/>
      <c r="H52" s="109"/>
      <c r="I52" s="98"/>
      <c r="J52" s="98"/>
      <c r="K52" s="98"/>
      <c r="L52" s="98"/>
      <c r="M52" s="30"/>
      <c r="N52" s="16"/>
    </row>
    <row r="53" spans="1:14" x14ac:dyDescent="0.3">
      <c r="A53" s="106"/>
      <c r="B53" s="107"/>
      <c r="C53" s="107"/>
      <c r="D53" s="113"/>
      <c r="F53" s="103"/>
      <c r="G53" s="104"/>
      <c r="H53" s="109"/>
      <c r="I53" s="98"/>
      <c r="J53" s="98"/>
      <c r="K53" s="98"/>
      <c r="L53" s="98"/>
      <c r="M53" s="30"/>
      <c r="N53" s="16"/>
    </row>
    <row r="54" spans="1:14" x14ac:dyDescent="0.3">
      <c r="A54" s="106"/>
      <c r="B54" s="107"/>
      <c r="C54" s="107"/>
      <c r="D54" s="114"/>
      <c r="F54" s="103"/>
      <c r="G54" s="104"/>
      <c r="H54" s="109"/>
      <c r="I54" s="98"/>
      <c r="J54" s="98"/>
      <c r="K54" s="98"/>
      <c r="L54" s="98"/>
      <c r="M54" s="30"/>
      <c r="N54" s="16"/>
    </row>
    <row r="55" spans="1:14" x14ac:dyDescent="0.3">
      <c r="A55" s="106"/>
      <c r="B55" s="107"/>
      <c r="C55" s="107"/>
      <c r="D55" s="113"/>
      <c r="F55" s="103"/>
      <c r="G55" s="104"/>
      <c r="H55" s="109"/>
      <c r="I55" s="98"/>
      <c r="J55" s="98"/>
      <c r="K55" s="98"/>
      <c r="L55" s="98"/>
      <c r="M55" s="30"/>
      <c r="N55" s="16"/>
    </row>
    <row r="56" spans="1:14" x14ac:dyDescent="0.3">
      <c r="A56" s="106"/>
      <c r="B56" s="107"/>
      <c r="C56" s="107"/>
      <c r="D56" s="114"/>
      <c r="F56" s="103"/>
      <c r="G56" s="104"/>
      <c r="H56" s="109"/>
      <c r="I56" s="98"/>
      <c r="J56" s="98"/>
      <c r="K56" s="98"/>
      <c r="L56" s="98"/>
      <c r="M56" s="30"/>
      <c r="N56" s="16"/>
    </row>
    <row r="57" spans="1:14" x14ac:dyDescent="0.3">
      <c r="A57" s="106"/>
      <c r="B57" s="107"/>
      <c r="C57" s="107"/>
      <c r="D57" s="113"/>
      <c r="F57" s="103"/>
      <c r="G57" s="104"/>
      <c r="H57" s="109"/>
      <c r="I57" s="98"/>
      <c r="J57" s="98"/>
      <c r="K57" s="98"/>
      <c r="L57" s="98"/>
      <c r="M57" s="30"/>
      <c r="N57" s="16"/>
    </row>
    <row r="58" spans="1:14" x14ac:dyDescent="0.3">
      <c r="A58" s="106"/>
      <c r="B58" s="107"/>
      <c r="C58" s="107"/>
      <c r="D58" s="114"/>
      <c r="F58" s="103"/>
      <c r="G58" s="104"/>
      <c r="H58" s="109"/>
      <c r="I58" s="98"/>
      <c r="J58" s="98"/>
      <c r="K58" s="98"/>
      <c r="L58" s="98"/>
      <c r="M58" s="30"/>
      <c r="N58" s="16"/>
    </row>
    <row r="59" spans="1:14" x14ac:dyDescent="0.3">
      <c r="A59" s="106"/>
      <c r="B59" s="107"/>
      <c r="C59" s="107"/>
      <c r="D59" s="113"/>
      <c r="F59" s="103"/>
      <c r="G59" s="104"/>
      <c r="H59" s="109"/>
      <c r="I59" s="98"/>
      <c r="J59" s="190"/>
      <c r="K59" s="190"/>
      <c r="L59" s="98"/>
      <c r="M59" s="30"/>
      <c r="N59" s="16"/>
    </row>
    <row r="60" spans="1:14" x14ac:dyDescent="0.3">
      <c r="A60" s="106"/>
      <c r="B60" s="107"/>
      <c r="C60" s="107"/>
      <c r="D60" s="114"/>
      <c r="F60" s="103"/>
      <c r="G60" s="104"/>
      <c r="H60" s="109"/>
      <c r="I60" s="189"/>
      <c r="J60" s="189"/>
      <c r="K60" s="189"/>
      <c r="L60" s="189"/>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78" t="s">
        <v>56</v>
      </c>
      <c r="B65" s="179"/>
      <c r="C65" s="179"/>
      <c r="D65" s="96">
        <f>SUM(Pest_26[Amount])</f>
        <v>0</v>
      </c>
      <c r="F65" s="173" t="s">
        <v>33</v>
      </c>
      <c r="G65" s="174"/>
      <c r="H65" s="174"/>
    </row>
    <row r="66" spans="1:8" x14ac:dyDescent="0.3">
      <c r="F66" s="173"/>
      <c r="G66" s="174"/>
      <c r="H66" s="174"/>
    </row>
    <row r="67" spans="1:8" ht="17.399999999999999" x14ac:dyDescent="0.3">
      <c r="A67" s="198" t="s">
        <v>69</v>
      </c>
      <c r="B67" s="198"/>
      <c r="C67" s="198"/>
      <c r="D67" s="198"/>
      <c r="E67" s="17"/>
      <c r="F67" s="183" t="s">
        <v>57</v>
      </c>
      <c r="G67" s="184"/>
      <c r="H67" s="185"/>
    </row>
    <row r="68" spans="1:8" x14ac:dyDescent="0.3">
      <c r="A68" s="21" t="s">
        <v>21</v>
      </c>
      <c r="B68" s="22" t="s">
        <v>22</v>
      </c>
      <c r="C68" s="22" t="s">
        <v>23</v>
      </c>
      <c r="D68" s="23" t="s">
        <v>25</v>
      </c>
      <c r="E68" s="24"/>
      <c r="F68" s="186"/>
      <c r="G68" s="187"/>
      <c r="H68" s="188"/>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78" t="s">
        <v>58</v>
      </c>
      <c r="B84" s="179"/>
      <c r="C84" s="179"/>
      <c r="D84" s="96">
        <f>SUM(Garbage_26[Amount])</f>
        <v>0</v>
      </c>
      <c r="E84" s="34"/>
      <c r="F84" s="173" t="s">
        <v>33</v>
      </c>
      <c r="G84" s="174"/>
      <c r="H84" s="174"/>
    </row>
    <row r="85" spans="1:8" x14ac:dyDescent="0.3">
      <c r="A85" s="38"/>
      <c r="B85" s="38"/>
      <c r="C85" s="38"/>
      <c r="D85" s="39"/>
      <c r="E85" s="40"/>
      <c r="F85" s="173"/>
      <c r="G85" s="174"/>
      <c r="H85" s="174"/>
    </row>
    <row r="86" spans="1:8" ht="17.399999999999999" x14ac:dyDescent="0.3">
      <c r="A86" s="191" t="s">
        <v>59</v>
      </c>
      <c r="B86" s="192"/>
      <c r="C86" s="192"/>
      <c r="D86" s="193"/>
      <c r="E86" s="17"/>
      <c r="F86" s="183" t="s">
        <v>60</v>
      </c>
      <c r="G86" s="184"/>
      <c r="H86" s="185"/>
    </row>
    <row r="87" spans="1:8" x14ac:dyDescent="0.3">
      <c r="A87" s="21" t="s">
        <v>21</v>
      </c>
      <c r="B87" s="22" t="s">
        <v>22</v>
      </c>
      <c r="C87" s="22" t="s">
        <v>23</v>
      </c>
      <c r="D87" s="23" t="s">
        <v>25</v>
      </c>
      <c r="E87" s="41"/>
      <c r="F87" s="186"/>
      <c r="G87" s="187"/>
      <c r="H87" s="188"/>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78" t="s">
        <v>61</v>
      </c>
      <c r="B103" s="179"/>
      <c r="C103" s="179"/>
      <c r="D103" s="96">
        <f>SUM(Boarding_26[Amount])</f>
        <v>0</v>
      </c>
      <c r="E103" s="34"/>
      <c r="F103" s="173" t="s">
        <v>33</v>
      </c>
      <c r="G103" s="174"/>
      <c r="H103" s="174"/>
    </row>
    <row r="104" spans="1:8" x14ac:dyDescent="0.3">
      <c r="A104" s="38"/>
      <c r="B104" s="38"/>
      <c r="C104" s="38"/>
      <c r="D104" s="39"/>
      <c r="E104" s="40"/>
      <c r="F104" s="173"/>
      <c r="G104" s="174"/>
      <c r="H104" s="174"/>
    </row>
    <row r="105" spans="1:8" ht="17.399999999999999" x14ac:dyDescent="0.3">
      <c r="A105" s="191" t="s">
        <v>70</v>
      </c>
      <c r="B105" s="192"/>
      <c r="C105" s="192"/>
      <c r="D105" s="193"/>
      <c r="E105" s="17"/>
      <c r="F105" s="183" t="s">
        <v>62</v>
      </c>
      <c r="G105" s="184"/>
      <c r="H105" s="185"/>
    </row>
    <row r="106" spans="1:8" x14ac:dyDescent="0.3">
      <c r="A106" s="21" t="s">
        <v>21</v>
      </c>
      <c r="B106" s="22" t="s">
        <v>22</v>
      </c>
      <c r="C106" s="22" t="s">
        <v>23</v>
      </c>
      <c r="D106" s="23" t="s">
        <v>25</v>
      </c>
      <c r="E106" s="41"/>
      <c r="F106" s="186"/>
      <c r="G106" s="187"/>
      <c r="H106" s="188"/>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78" t="s">
        <v>63</v>
      </c>
      <c r="B122" s="179"/>
      <c r="C122" s="179"/>
      <c r="D122" s="96">
        <f>SUM(Fence_26[Amount])</f>
        <v>0</v>
      </c>
      <c r="E122" s="34"/>
      <c r="F122" s="173" t="s">
        <v>33</v>
      </c>
      <c r="G122" s="174"/>
      <c r="H122" s="174"/>
    </row>
    <row r="123" spans="1:8" x14ac:dyDescent="0.3">
      <c r="F123" s="173"/>
      <c r="G123" s="174"/>
      <c r="H123" s="174"/>
    </row>
    <row r="124" spans="1:8" ht="17.399999999999999" x14ac:dyDescent="0.3">
      <c r="A124" s="191" t="s">
        <v>26</v>
      </c>
      <c r="B124" s="192"/>
      <c r="C124" s="192"/>
      <c r="D124" s="193"/>
      <c r="E124" s="17"/>
      <c r="F124" s="183" t="s">
        <v>11</v>
      </c>
      <c r="G124" s="184"/>
      <c r="H124" s="185"/>
    </row>
    <row r="125" spans="1:8" x14ac:dyDescent="0.3">
      <c r="A125" s="21" t="s">
        <v>21</v>
      </c>
      <c r="B125" s="22" t="s">
        <v>22</v>
      </c>
      <c r="C125" s="22" t="s">
        <v>23</v>
      </c>
      <c r="D125" s="23" t="s">
        <v>25</v>
      </c>
      <c r="E125" s="41"/>
      <c r="F125" s="186"/>
      <c r="G125" s="187"/>
      <c r="H125" s="188"/>
    </row>
    <row r="126" spans="1:8" x14ac:dyDescent="0.3">
      <c r="A126" s="100"/>
      <c r="B126" s="101"/>
      <c r="C126" s="101"/>
      <c r="D126" s="112">
        <v>18810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78" t="s">
        <v>27</v>
      </c>
      <c r="B141" s="179"/>
      <c r="C141" s="179"/>
      <c r="D141" s="96">
        <f>SUM(Demolition_26[Amount])</f>
        <v>18810</v>
      </c>
      <c r="E141" s="34"/>
      <c r="F141" s="173" t="s">
        <v>33</v>
      </c>
      <c r="G141" s="174"/>
      <c r="H141" s="174"/>
    </row>
    <row r="142" spans="1:8" x14ac:dyDescent="0.3">
      <c r="A142" s="38"/>
      <c r="B142" s="38"/>
      <c r="C142" s="38"/>
      <c r="D142" s="39"/>
      <c r="E142" s="40"/>
      <c r="F142" s="173"/>
      <c r="G142" s="174"/>
      <c r="H142" s="174"/>
    </row>
    <row r="143" spans="1:8" ht="17.399999999999999" x14ac:dyDescent="0.3">
      <c r="A143" s="191" t="s">
        <v>64</v>
      </c>
      <c r="B143" s="192"/>
      <c r="C143" s="192"/>
      <c r="D143" s="193"/>
      <c r="E143" s="17"/>
      <c r="F143" s="183" t="s">
        <v>44</v>
      </c>
      <c r="G143" s="184"/>
      <c r="H143" s="185"/>
    </row>
    <row r="144" spans="1:8" x14ac:dyDescent="0.3">
      <c r="A144" s="21" t="s">
        <v>21</v>
      </c>
      <c r="B144" s="22" t="s">
        <v>22</v>
      </c>
      <c r="C144" s="22" t="s">
        <v>23</v>
      </c>
      <c r="D144" s="23" t="s">
        <v>25</v>
      </c>
      <c r="E144" s="41"/>
      <c r="F144" s="186"/>
      <c r="G144" s="187"/>
      <c r="H144" s="188"/>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78" t="s">
        <v>65</v>
      </c>
      <c r="B160" s="179"/>
      <c r="C160" s="179"/>
      <c r="D160" s="96">
        <f>SUM(Rehab_26[Amount])</f>
        <v>0</v>
      </c>
      <c r="E160" s="34"/>
      <c r="F160" s="173" t="s">
        <v>33</v>
      </c>
      <c r="G160" s="174"/>
      <c r="H160" s="174"/>
    </row>
    <row r="161" spans="6:8" x14ac:dyDescent="0.3">
      <c r="F161" s="173"/>
      <c r="G161" s="174"/>
      <c r="H161" s="174"/>
    </row>
  </sheetData>
  <sheetProtection algorithmName="SHA-512" hashValue="DaGEos/I9YYQY9+Rt8r3fbFx1Fj/mWlKtI7zSr7ZuzSeYc6mIMIp5NGeA2dXSQ8cKKb0a0e8NaXJpWLtJl/1OQ==" saltValue="Tq6bmrHSlJnVjp6j5NKhOA=="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N161"/>
  <sheetViews>
    <sheetView showGridLines="0" zoomScaleNormal="100" workbookViewId="0">
      <pane ySplit="9" topLeftCell="A118"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5" t="s">
        <v>24</v>
      </c>
      <c r="B1" s="175"/>
      <c r="C1" s="175"/>
      <c r="D1" s="175"/>
      <c r="E1" s="1"/>
      <c r="F1" s="2"/>
      <c r="G1" s="2"/>
      <c r="H1" s="1"/>
    </row>
    <row r="2" spans="1:14" ht="24.9" customHeight="1" x14ac:dyDescent="0.3">
      <c r="A2" s="176" t="s">
        <v>71</v>
      </c>
      <c r="B2" s="176"/>
      <c r="C2" s="176"/>
      <c r="D2" s="176"/>
      <c r="E2" s="4"/>
      <c r="F2" s="97"/>
      <c r="G2" s="97"/>
      <c r="H2" s="5"/>
    </row>
    <row r="3" spans="1:14" ht="31.5" customHeight="1" x14ac:dyDescent="0.3">
      <c r="A3" s="176"/>
      <c r="B3" s="176"/>
      <c r="C3" s="176"/>
      <c r="D3" s="176"/>
      <c r="E3" s="4"/>
      <c r="F3" s="97"/>
      <c r="G3" s="97"/>
      <c r="H3" s="5"/>
    </row>
    <row r="4" spans="1:14" ht="15" customHeight="1" x14ac:dyDescent="0.25">
      <c r="A4" s="75" t="s">
        <v>19</v>
      </c>
      <c r="B4" s="194" t="str">
        <f>IF('Summary Sheet'!B59="","",'Summary Sheet'!B59)</f>
        <v>1442 S PULASKI RD</v>
      </c>
      <c r="C4" s="194"/>
      <c r="D4" s="97"/>
      <c r="E4" s="4"/>
      <c r="F4" s="97"/>
      <c r="G4" s="97"/>
      <c r="H4" s="5"/>
    </row>
    <row r="5" spans="1:14" ht="15" customHeight="1" x14ac:dyDescent="0.25">
      <c r="A5" s="75" t="s">
        <v>20</v>
      </c>
      <c r="B5" s="195" t="str">
        <f>IF('Summary Sheet'!C59="","",'Summary Sheet'!C59)</f>
        <v/>
      </c>
      <c r="C5" s="195"/>
      <c r="D5" s="97"/>
      <c r="E5" s="4"/>
      <c r="F5" s="97"/>
      <c r="G5" s="97"/>
      <c r="H5" s="5"/>
    </row>
    <row r="6" spans="1:14" ht="15" customHeight="1" x14ac:dyDescent="0.25">
      <c r="A6" s="75" t="s">
        <v>36</v>
      </c>
      <c r="B6" s="177"/>
      <c r="C6" s="177"/>
      <c r="D6" s="6"/>
      <c r="E6" s="7"/>
    </row>
    <row r="7" spans="1:14" ht="15" customHeight="1" x14ac:dyDescent="0.25">
      <c r="A7" s="7"/>
      <c r="B7" s="196" t="s">
        <v>34</v>
      </c>
      <c r="C7" s="196"/>
      <c r="D7" s="10"/>
    </row>
    <row r="8" spans="1:14" ht="20.100000000000001" customHeight="1" x14ac:dyDescent="0.25">
      <c r="B8" s="11"/>
      <c r="C8" s="11"/>
      <c r="D8" s="12" t="s">
        <v>31</v>
      </c>
      <c r="F8" s="180" t="s">
        <v>32</v>
      </c>
      <c r="G8" s="181"/>
      <c r="H8" s="182"/>
    </row>
    <row r="9" spans="1:14" s="14" customFormat="1" ht="20.100000000000001" customHeight="1" x14ac:dyDescent="0.25">
      <c r="A9" s="197"/>
      <c r="B9" s="197"/>
      <c r="C9" s="197"/>
      <c r="D9" s="13">
        <f>SUM(D27,D46,D65,D84,D103,D122,D141,D160)</f>
        <v>24510</v>
      </c>
      <c r="F9" s="15" t="s">
        <v>28</v>
      </c>
      <c r="G9" s="15" t="s">
        <v>29</v>
      </c>
      <c r="H9" s="15" t="s">
        <v>30</v>
      </c>
      <c r="I9" s="16"/>
      <c r="J9" s="16"/>
      <c r="K9" s="16"/>
      <c r="L9" s="16"/>
      <c r="M9" s="16"/>
      <c r="N9" s="16"/>
    </row>
    <row r="10" spans="1:14" s="17" customFormat="1" ht="23.1" customHeight="1" x14ac:dyDescent="0.3">
      <c r="A10" s="198" t="s">
        <v>51</v>
      </c>
      <c r="B10" s="198"/>
      <c r="C10" s="198"/>
      <c r="D10" s="198"/>
      <c r="F10" s="183" t="s">
        <v>66</v>
      </c>
      <c r="G10" s="184"/>
      <c r="H10" s="185"/>
      <c r="I10" s="18"/>
      <c r="J10" s="18"/>
      <c r="K10" s="18"/>
      <c r="L10" s="18"/>
      <c r="M10" s="19"/>
      <c r="N10" s="20"/>
    </row>
    <row r="11" spans="1:14" s="24" customFormat="1" ht="12.75" customHeight="1" x14ac:dyDescent="0.25">
      <c r="A11" s="21" t="s">
        <v>21</v>
      </c>
      <c r="B11" s="22" t="s">
        <v>22</v>
      </c>
      <c r="C11" s="22" t="s">
        <v>23</v>
      </c>
      <c r="D11" s="23" t="s">
        <v>25</v>
      </c>
      <c r="F11" s="186"/>
      <c r="G11" s="187"/>
      <c r="H11" s="188"/>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78" t="s">
        <v>53</v>
      </c>
      <c r="B27" s="179"/>
      <c r="C27" s="179"/>
      <c r="D27" s="96">
        <f>SUM(Grass_27[Amount])</f>
        <v>0</v>
      </c>
      <c r="F27" s="173" t="s">
        <v>33</v>
      </c>
      <c r="G27" s="174"/>
      <c r="H27" s="174"/>
      <c r="I27" s="35"/>
      <c r="J27" s="35"/>
      <c r="K27" s="35"/>
      <c r="L27" s="35"/>
      <c r="M27" s="36"/>
      <c r="N27" s="37"/>
    </row>
    <row r="28" spans="1:14" s="40" customFormat="1" ht="11.1" customHeight="1" x14ac:dyDescent="0.3">
      <c r="A28" s="38"/>
      <c r="B28" s="38"/>
      <c r="C28" s="38"/>
      <c r="D28" s="39"/>
      <c r="F28" s="173"/>
      <c r="G28" s="174"/>
      <c r="H28" s="174"/>
      <c r="I28" s="35"/>
      <c r="J28" s="35"/>
      <c r="K28" s="35"/>
      <c r="L28" s="35"/>
      <c r="M28" s="36"/>
      <c r="N28" s="37"/>
    </row>
    <row r="29" spans="1:14" s="17" customFormat="1" ht="23.1" customHeight="1" x14ac:dyDescent="0.3">
      <c r="A29" s="191" t="s">
        <v>67</v>
      </c>
      <c r="B29" s="192"/>
      <c r="C29" s="192"/>
      <c r="D29" s="193"/>
      <c r="F29" s="183" t="s">
        <v>52</v>
      </c>
      <c r="G29" s="184"/>
      <c r="H29" s="185"/>
      <c r="I29" s="18"/>
      <c r="J29" s="18"/>
      <c r="K29" s="18"/>
      <c r="L29" s="18"/>
      <c r="M29" s="19"/>
      <c r="N29" s="20"/>
    </row>
    <row r="30" spans="1:14" s="41" customFormat="1" ht="12.75" customHeight="1" x14ac:dyDescent="0.25">
      <c r="A30" s="21" t="s">
        <v>21</v>
      </c>
      <c r="B30" s="22" t="s">
        <v>22</v>
      </c>
      <c r="C30" s="22" t="s">
        <v>23</v>
      </c>
      <c r="D30" s="23" t="s">
        <v>25</v>
      </c>
      <c r="F30" s="186"/>
      <c r="G30" s="187"/>
      <c r="H30" s="188"/>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98"/>
      <c r="J44" s="29"/>
      <c r="K44" s="29"/>
      <c r="L44" s="98"/>
      <c r="M44" s="30"/>
      <c r="N44" s="16"/>
    </row>
    <row r="45" spans="1:14" x14ac:dyDescent="0.3">
      <c r="A45" s="106"/>
      <c r="B45" s="107"/>
      <c r="C45" s="107"/>
      <c r="D45" s="114"/>
      <c r="F45" s="103"/>
      <c r="G45" s="104"/>
      <c r="H45" s="109"/>
      <c r="I45" s="98"/>
      <c r="J45" s="29"/>
      <c r="K45" s="29"/>
      <c r="L45" s="98"/>
      <c r="M45" s="30"/>
      <c r="N45" s="16"/>
    </row>
    <row r="46" spans="1:14" s="34" customFormat="1" x14ac:dyDescent="0.3">
      <c r="A46" s="178" t="s">
        <v>54</v>
      </c>
      <c r="B46" s="179"/>
      <c r="C46" s="179"/>
      <c r="D46" s="96">
        <f>SUM(Tree_27[Amount])</f>
        <v>0</v>
      </c>
      <c r="F46" s="173" t="s">
        <v>33</v>
      </c>
      <c r="G46" s="174"/>
      <c r="H46" s="174"/>
      <c r="I46" s="43"/>
      <c r="J46" s="43"/>
      <c r="K46" s="43"/>
      <c r="L46" s="43"/>
      <c r="M46" s="36"/>
      <c r="N46" s="37"/>
    </row>
    <row r="47" spans="1:14" s="40" customFormat="1" ht="11.1" customHeight="1" x14ac:dyDescent="0.3">
      <c r="A47" s="38"/>
      <c r="B47" s="38"/>
      <c r="C47" s="38"/>
      <c r="D47" s="39"/>
      <c r="F47" s="173"/>
      <c r="G47" s="174"/>
      <c r="H47" s="174"/>
      <c r="I47" s="43"/>
      <c r="J47" s="43"/>
      <c r="K47" s="43"/>
      <c r="L47" s="43"/>
      <c r="M47" s="36"/>
      <c r="N47" s="37"/>
    </row>
    <row r="48" spans="1:14" s="17" customFormat="1" ht="23.1" customHeight="1" x14ac:dyDescent="0.3">
      <c r="A48" s="191" t="s">
        <v>68</v>
      </c>
      <c r="B48" s="192"/>
      <c r="C48" s="192"/>
      <c r="D48" s="193"/>
      <c r="F48" s="183" t="s">
        <v>55</v>
      </c>
      <c r="G48" s="184"/>
      <c r="H48" s="185"/>
      <c r="I48" s="44"/>
      <c r="J48" s="44"/>
      <c r="K48" s="44"/>
      <c r="L48" s="44"/>
      <c r="M48" s="19"/>
      <c r="N48" s="20"/>
    </row>
    <row r="49" spans="1:14" s="41" customFormat="1" ht="12.75" customHeight="1" x14ac:dyDescent="0.25">
      <c r="A49" s="21" t="s">
        <v>21</v>
      </c>
      <c r="B49" s="22" t="s">
        <v>22</v>
      </c>
      <c r="C49" s="22" t="s">
        <v>23</v>
      </c>
      <c r="D49" s="23" t="s">
        <v>25</v>
      </c>
      <c r="F49" s="186"/>
      <c r="G49" s="187"/>
      <c r="H49" s="188"/>
      <c r="I49" s="98"/>
      <c r="J49" s="98"/>
      <c r="K49" s="98"/>
      <c r="L49" s="98"/>
      <c r="M49" s="30"/>
      <c r="N49" s="42"/>
    </row>
    <row r="50" spans="1:14" x14ac:dyDescent="0.3">
      <c r="A50" s="100"/>
      <c r="B50" s="101"/>
      <c r="C50" s="101"/>
      <c r="D50" s="112"/>
      <c r="F50" s="103"/>
      <c r="G50" s="104"/>
      <c r="H50" s="109"/>
      <c r="I50" s="98"/>
      <c r="J50" s="98"/>
      <c r="K50" s="98"/>
      <c r="L50" s="98"/>
      <c r="M50" s="30"/>
      <c r="N50" s="16"/>
    </row>
    <row r="51" spans="1:14" x14ac:dyDescent="0.3">
      <c r="A51" s="106"/>
      <c r="B51" s="107"/>
      <c r="C51" s="107"/>
      <c r="D51" s="113"/>
      <c r="F51" s="103"/>
      <c r="G51" s="104"/>
      <c r="H51" s="109"/>
      <c r="I51" s="98"/>
      <c r="J51" s="98"/>
      <c r="K51" s="98"/>
      <c r="L51" s="98"/>
      <c r="M51" s="30"/>
      <c r="N51" s="16"/>
    </row>
    <row r="52" spans="1:14" x14ac:dyDescent="0.3">
      <c r="A52" s="106"/>
      <c r="B52" s="107"/>
      <c r="C52" s="107"/>
      <c r="D52" s="114"/>
      <c r="F52" s="103"/>
      <c r="H52" s="109"/>
      <c r="I52" s="98"/>
      <c r="J52" s="98"/>
      <c r="K52" s="98"/>
      <c r="L52" s="98"/>
      <c r="M52" s="30"/>
      <c r="N52" s="16"/>
    </row>
    <row r="53" spans="1:14" x14ac:dyDescent="0.3">
      <c r="A53" s="106"/>
      <c r="B53" s="107"/>
      <c r="C53" s="107"/>
      <c r="D53" s="113"/>
      <c r="F53" s="103"/>
      <c r="G53" s="104"/>
      <c r="H53" s="109"/>
      <c r="I53" s="98"/>
      <c r="J53" s="98"/>
      <c r="K53" s="98"/>
      <c r="L53" s="98"/>
      <c r="M53" s="30"/>
      <c r="N53" s="16"/>
    </row>
    <row r="54" spans="1:14" x14ac:dyDescent="0.3">
      <c r="A54" s="106"/>
      <c r="B54" s="107"/>
      <c r="C54" s="107"/>
      <c r="D54" s="114"/>
      <c r="F54" s="103"/>
      <c r="G54" s="104"/>
      <c r="H54" s="109"/>
      <c r="I54" s="98"/>
      <c r="J54" s="98"/>
      <c r="K54" s="98"/>
      <c r="L54" s="98"/>
      <c r="M54" s="30"/>
      <c r="N54" s="16"/>
    </row>
    <row r="55" spans="1:14" x14ac:dyDescent="0.3">
      <c r="A55" s="106"/>
      <c r="B55" s="107"/>
      <c r="C55" s="107"/>
      <c r="D55" s="113"/>
      <c r="F55" s="103"/>
      <c r="G55" s="104"/>
      <c r="H55" s="109"/>
      <c r="I55" s="98"/>
      <c r="J55" s="98"/>
      <c r="K55" s="98"/>
      <c r="L55" s="98"/>
      <c r="M55" s="30"/>
      <c r="N55" s="16"/>
    </row>
    <row r="56" spans="1:14" x14ac:dyDescent="0.3">
      <c r="A56" s="106"/>
      <c r="B56" s="107"/>
      <c r="C56" s="107"/>
      <c r="D56" s="114"/>
      <c r="F56" s="103"/>
      <c r="G56" s="104"/>
      <c r="H56" s="109"/>
      <c r="I56" s="98"/>
      <c r="J56" s="98"/>
      <c r="K56" s="98"/>
      <c r="L56" s="98"/>
      <c r="M56" s="30"/>
      <c r="N56" s="16"/>
    </row>
    <row r="57" spans="1:14" x14ac:dyDescent="0.3">
      <c r="A57" s="106"/>
      <c r="B57" s="107"/>
      <c r="C57" s="107"/>
      <c r="D57" s="113"/>
      <c r="F57" s="103"/>
      <c r="G57" s="104"/>
      <c r="H57" s="109"/>
      <c r="I57" s="98"/>
      <c r="J57" s="98"/>
      <c r="K57" s="98"/>
      <c r="L57" s="98"/>
      <c r="M57" s="30"/>
      <c r="N57" s="16"/>
    </row>
    <row r="58" spans="1:14" x14ac:dyDescent="0.3">
      <c r="A58" s="106"/>
      <c r="B58" s="107"/>
      <c r="C58" s="107"/>
      <c r="D58" s="114"/>
      <c r="F58" s="103"/>
      <c r="G58" s="104"/>
      <c r="H58" s="109"/>
      <c r="I58" s="98"/>
      <c r="J58" s="98"/>
      <c r="K58" s="98"/>
      <c r="L58" s="98"/>
      <c r="M58" s="30"/>
      <c r="N58" s="16"/>
    </row>
    <row r="59" spans="1:14" x14ac:dyDescent="0.3">
      <c r="A59" s="106"/>
      <c r="B59" s="107"/>
      <c r="C59" s="107"/>
      <c r="D59" s="113"/>
      <c r="F59" s="103"/>
      <c r="G59" s="104"/>
      <c r="H59" s="109"/>
      <c r="I59" s="98"/>
      <c r="J59" s="190"/>
      <c r="K59" s="190"/>
      <c r="L59" s="98"/>
      <c r="M59" s="30"/>
      <c r="N59" s="16"/>
    </row>
    <row r="60" spans="1:14" x14ac:dyDescent="0.3">
      <c r="A60" s="106"/>
      <c r="B60" s="107"/>
      <c r="C60" s="107"/>
      <c r="D60" s="114"/>
      <c r="F60" s="103"/>
      <c r="G60" s="104"/>
      <c r="H60" s="109"/>
      <c r="I60" s="189"/>
      <c r="J60" s="189"/>
      <c r="K60" s="189"/>
      <c r="L60" s="189"/>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78" t="s">
        <v>56</v>
      </c>
      <c r="B65" s="179"/>
      <c r="C65" s="179"/>
      <c r="D65" s="96">
        <f>SUM(Pest_27[Amount])</f>
        <v>0</v>
      </c>
      <c r="F65" s="173" t="s">
        <v>33</v>
      </c>
      <c r="G65" s="174"/>
      <c r="H65" s="174"/>
    </row>
    <row r="66" spans="1:8" x14ac:dyDescent="0.3">
      <c r="F66" s="173"/>
      <c r="G66" s="174"/>
      <c r="H66" s="174"/>
    </row>
    <row r="67" spans="1:8" ht="17.399999999999999" x14ac:dyDescent="0.3">
      <c r="A67" s="198" t="s">
        <v>69</v>
      </c>
      <c r="B67" s="198"/>
      <c r="C67" s="198"/>
      <c r="D67" s="198"/>
      <c r="E67" s="17"/>
      <c r="F67" s="183" t="s">
        <v>57</v>
      </c>
      <c r="G67" s="184"/>
      <c r="H67" s="185"/>
    </row>
    <row r="68" spans="1:8" x14ac:dyDescent="0.3">
      <c r="A68" s="21" t="s">
        <v>21</v>
      </c>
      <c r="B68" s="22" t="s">
        <v>22</v>
      </c>
      <c r="C68" s="22" t="s">
        <v>23</v>
      </c>
      <c r="D68" s="23" t="s">
        <v>25</v>
      </c>
      <c r="E68" s="24"/>
      <c r="F68" s="186"/>
      <c r="G68" s="187"/>
      <c r="H68" s="188"/>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78" t="s">
        <v>58</v>
      </c>
      <c r="B84" s="179"/>
      <c r="C84" s="179"/>
      <c r="D84" s="96">
        <f>SUM(Garbage_27[Amount])</f>
        <v>0</v>
      </c>
      <c r="E84" s="34"/>
      <c r="F84" s="173" t="s">
        <v>33</v>
      </c>
      <c r="G84" s="174"/>
      <c r="H84" s="174"/>
    </row>
    <row r="85" spans="1:8" x14ac:dyDescent="0.3">
      <c r="A85" s="38"/>
      <c r="B85" s="38"/>
      <c r="C85" s="38"/>
      <c r="D85" s="39"/>
      <c r="E85" s="40"/>
      <c r="F85" s="173"/>
      <c r="G85" s="174"/>
      <c r="H85" s="174"/>
    </row>
    <row r="86" spans="1:8" ht="17.399999999999999" x14ac:dyDescent="0.3">
      <c r="A86" s="191" t="s">
        <v>59</v>
      </c>
      <c r="B86" s="192"/>
      <c r="C86" s="192"/>
      <c r="D86" s="193"/>
      <c r="E86" s="17"/>
      <c r="F86" s="183" t="s">
        <v>60</v>
      </c>
      <c r="G86" s="184"/>
      <c r="H86" s="185"/>
    </row>
    <row r="87" spans="1:8" x14ac:dyDescent="0.3">
      <c r="A87" s="21" t="s">
        <v>21</v>
      </c>
      <c r="B87" s="22" t="s">
        <v>22</v>
      </c>
      <c r="C87" s="22" t="s">
        <v>23</v>
      </c>
      <c r="D87" s="23" t="s">
        <v>25</v>
      </c>
      <c r="E87" s="41"/>
      <c r="F87" s="186"/>
      <c r="G87" s="187"/>
      <c r="H87" s="188"/>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78" t="s">
        <v>61</v>
      </c>
      <c r="B103" s="179"/>
      <c r="C103" s="179"/>
      <c r="D103" s="96">
        <f>SUM(Boarding_27[Amount])</f>
        <v>0</v>
      </c>
      <c r="E103" s="34"/>
      <c r="F103" s="173" t="s">
        <v>33</v>
      </c>
      <c r="G103" s="174"/>
      <c r="H103" s="174"/>
    </row>
    <row r="104" spans="1:8" x14ac:dyDescent="0.3">
      <c r="A104" s="38"/>
      <c r="B104" s="38"/>
      <c r="C104" s="38"/>
      <c r="D104" s="39"/>
      <c r="E104" s="40"/>
      <c r="F104" s="173"/>
      <c r="G104" s="174"/>
      <c r="H104" s="174"/>
    </row>
    <row r="105" spans="1:8" ht="17.399999999999999" x14ac:dyDescent="0.3">
      <c r="A105" s="191" t="s">
        <v>70</v>
      </c>
      <c r="B105" s="192"/>
      <c r="C105" s="192"/>
      <c r="D105" s="193"/>
      <c r="E105" s="17"/>
      <c r="F105" s="183" t="s">
        <v>62</v>
      </c>
      <c r="G105" s="184"/>
      <c r="H105" s="185"/>
    </row>
    <row r="106" spans="1:8" x14ac:dyDescent="0.3">
      <c r="A106" s="21" t="s">
        <v>21</v>
      </c>
      <c r="B106" s="22" t="s">
        <v>22</v>
      </c>
      <c r="C106" s="22" t="s">
        <v>23</v>
      </c>
      <c r="D106" s="23" t="s">
        <v>25</v>
      </c>
      <c r="E106" s="41"/>
      <c r="F106" s="186"/>
      <c r="G106" s="187"/>
      <c r="H106" s="188"/>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78" t="s">
        <v>63</v>
      </c>
      <c r="B122" s="179"/>
      <c r="C122" s="179"/>
      <c r="D122" s="96">
        <f>SUM(Fence_27[Amount])</f>
        <v>0</v>
      </c>
      <c r="E122" s="34"/>
      <c r="F122" s="173" t="s">
        <v>33</v>
      </c>
      <c r="G122" s="174"/>
      <c r="H122" s="174"/>
    </row>
    <row r="123" spans="1:8" x14ac:dyDescent="0.3">
      <c r="F123" s="173"/>
      <c r="G123" s="174"/>
      <c r="H123" s="174"/>
    </row>
    <row r="124" spans="1:8" ht="17.399999999999999" x14ac:dyDescent="0.3">
      <c r="A124" s="191" t="s">
        <v>26</v>
      </c>
      <c r="B124" s="192"/>
      <c r="C124" s="192"/>
      <c r="D124" s="193"/>
      <c r="E124" s="17"/>
      <c r="F124" s="183" t="s">
        <v>11</v>
      </c>
      <c r="G124" s="184"/>
      <c r="H124" s="185"/>
    </row>
    <row r="125" spans="1:8" x14ac:dyDescent="0.3">
      <c r="A125" s="21" t="s">
        <v>21</v>
      </c>
      <c r="B125" s="22" t="s">
        <v>22</v>
      </c>
      <c r="C125" s="22" t="s">
        <v>23</v>
      </c>
      <c r="D125" s="23" t="s">
        <v>25</v>
      </c>
      <c r="E125" s="41"/>
      <c r="F125" s="186"/>
      <c r="G125" s="187"/>
      <c r="H125" s="188"/>
    </row>
    <row r="126" spans="1:8" x14ac:dyDescent="0.3">
      <c r="A126" s="100"/>
      <c r="B126" s="101"/>
      <c r="C126" s="101"/>
      <c r="D126" s="112">
        <v>24510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78" t="s">
        <v>27</v>
      </c>
      <c r="B141" s="179"/>
      <c r="C141" s="179"/>
      <c r="D141" s="96">
        <f>SUM(Demolition_27[Amount])</f>
        <v>24510</v>
      </c>
      <c r="E141" s="34"/>
      <c r="F141" s="173" t="s">
        <v>33</v>
      </c>
      <c r="G141" s="174"/>
      <c r="H141" s="174"/>
    </row>
    <row r="142" spans="1:8" x14ac:dyDescent="0.3">
      <c r="A142" s="38"/>
      <c r="B142" s="38"/>
      <c r="C142" s="38"/>
      <c r="D142" s="39"/>
      <c r="E142" s="40"/>
      <c r="F142" s="173"/>
      <c r="G142" s="174"/>
      <c r="H142" s="174"/>
    </row>
    <row r="143" spans="1:8" ht="17.399999999999999" x14ac:dyDescent="0.3">
      <c r="A143" s="191" t="s">
        <v>64</v>
      </c>
      <c r="B143" s="192"/>
      <c r="C143" s="192"/>
      <c r="D143" s="193"/>
      <c r="E143" s="17"/>
      <c r="F143" s="183" t="s">
        <v>44</v>
      </c>
      <c r="G143" s="184"/>
      <c r="H143" s="185"/>
    </row>
    <row r="144" spans="1:8" x14ac:dyDescent="0.3">
      <c r="A144" s="21" t="s">
        <v>21</v>
      </c>
      <c r="B144" s="22" t="s">
        <v>22</v>
      </c>
      <c r="C144" s="22" t="s">
        <v>23</v>
      </c>
      <c r="D144" s="23" t="s">
        <v>25</v>
      </c>
      <c r="E144" s="41"/>
      <c r="F144" s="186"/>
      <c r="G144" s="187"/>
      <c r="H144" s="188"/>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78" t="s">
        <v>65</v>
      </c>
      <c r="B160" s="179"/>
      <c r="C160" s="179"/>
      <c r="D160" s="96">
        <f>SUM(Rehab_27[Amount])</f>
        <v>0</v>
      </c>
      <c r="E160" s="34"/>
      <c r="F160" s="173" t="s">
        <v>33</v>
      </c>
      <c r="G160" s="174"/>
      <c r="H160" s="174"/>
    </row>
    <row r="161" spans="6:8" x14ac:dyDescent="0.3">
      <c r="F161" s="173"/>
      <c r="G161" s="174"/>
      <c r="H161" s="174"/>
    </row>
  </sheetData>
  <sheetProtection algorithmName="SHA-512" hashValue="L2YTkG+YNUSf+CHcmDT2Gsue8bG0n36kbjEik/Ljkybu8dhX+weg2V790X6p3gbt6C4Bvq2nY8KFsXV24vixCw==" saltValue="T6ovle7fLn66e+efRSIdLA=="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N161"/>
  <sheetViews>
    <sheetView showGridLines="0" zoomScaleNormal="100" workbookViewId="0">
      <pane ySplit="9" topLeftCell="A118"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5" t="s">
        <v>24</v>
      </c>
      <c r="B1" s="175"/>
      <c r="C1" s="175"/>
      <c r="D1" s="175"/>
      <c r="E1" s="1"/>
      <c r="F1" s="2"/>
      <c r="G1" s="2"/>
      <c r="H1" s="1"/>
    </row>
    <row r="2" spans="1:14" ht="24.9" customHeight="1" x14ac:dyDescent="0.3">
      <c r="A2" s="176" t="s">
        <v>71</v>
      </c>
      <c r="B2" s="176"/>
      <c r="C2" s="176"/>
      <c r="D2" s="176"/>
      <c r="E2" s="4"/>
      <c r="F2" s="97"/>
      <c r="G2" s="97"/>
      <c r="H2" s="5"/>
    </row>
    <row r="3" spans="1:14" ht="31.5" customHeight="1" x14ac:dyDescent="0.3">
      <c r="A3" s="176"/>
      <c r="B3" s="176"/>
      <c r="C3" s="176"/>
      <c r="D3" s="176"/>
      <c r="E3" s="4"/>
      <c r="F3" s="97"/>
      <c r="G3" s="97"/>
      <c r="H3" s="5"/>
    </row>
    <row r="4" spans="1:14" ht="15" customHeight="1" x14ac:dyDescent="0.25">
      <c r="A4" s="75" t="s">
        <v>19</v>
      </c>
      <c r="B4" s="194" t="str">
        <f>IF('Summary Sheet'!B60="","",'Summary Sheet'!B60)</f>
        <v>1446 W MARQUETTE RD</v>
      </c>
      <c r="C4" s="194"/>
      <c r="D4" s="97"/>
      <c r="E4" s="4"/>
      <c r="F4" s="97"/>
      <c r="G4" s="97"/>
      <c r="H4" s="5"/>
    </row>
    <row r="5" spans="1:14" ht="15" customHeight="1" x14ac:dyDescent="0.25">
      <c r="A5" s="75" t="s">
        <v>20</v>
      </c>
      <c r="B5" s="195" t="str">
        <f>IF('Summary Sheet'!C60="","",'Summary Sheet'!C60)</f>
        <v/>
      </c>
      <c r="C5" s="195"/>
      <c r="D5" s="97"/>
      <c r="E5" s="4"/>
      <c r="F5" s="97"/>
      <c r="G5" s="97"/>
      <c r="H5" s="5"/>
    </row>
    <row r="6" spans="1:14" ht="15" customHeight="1" x14ac:dyDescent="0.25">
      <c r="A6" s="75" t="s">
        <v>36</v>
      </c>
      <c r="B6" s="177"/>
      <c r="C6" s="177"/>
      <c r="D6" s="6"/>
      <c r="E6" s="7"/>
    </row>
    <row r="7" spans="1:14" ht="15" customHeight="1" x14ac:dyDescent="0.25">
      <c r="A7" s="7"/>
      <c r="B7" s="196" t="s">
        <v>34</v>
      </c>
      <c r="C7" s="196"/>
      <c r="D7" s="10"/>
    </row>
    <row r="8" spans="1:14" ht="20.100000000000001" customHeight="1" x14ac:dyDescent="0.25">
      <c r="B8" s="11"/>
      <c r="C8" s="11"/>
      <c r="D8" s="12" t="s">
        <v>31</v>
      </c>
      <c r="F8" s="180" t="s">
        <v>32</v>
      </c>
      <c r="G8" s="181"/>
      <c r="H8" s="182"/>
    </row>
    <row r="9" spans="1:14" s="14" customFormat="1" ht="20.100000000000001" customHeight="1" x14ac:dyDescent="0.25">
      <c r="A9" s="197"/>
      <c r="B9" s="197"/>
      <c r="C9" s="197"/>
      <c r="D9" s="13">
        <f>SUM(D27,D46,D65,D84,D103,D122,D141,D160)</f>
        <v>31810</v>
      </c>
      <c r="F9" s="15" t="s">
        <v>28</v>
      </c>
      <c r="G9" s="15" t="s">
        <v>29</v>
      </c>
      <c r="H9" s="15" t="s">
        <v>30</v>
      </c>
      <c r="I9" s="16"/>
      <c r="J9" s="16"/>
      <c r="K9" s="16"/>
      <c r="L9" s="16"/>
      <c r="M9" s="16"/>
      <c r="N9" s="16"/>
    </row>
    <row r="10" spans="1:14" s="17" customFormat="1" ht="23.1" customHeight="1" x14ac:dyDescent="0.3">
      <c r="A10" s="198" t="s">
        <v>51</v>
      </c>
      <c r="B10" s="198"/>
      <c r="C10" s="198"/>
      <c r="D10" s="198"/>
      <c r="F10" s="183" t="s">
        <v>66</v>
      </c>
      <c r="G10" s="184"/>
      <c r="H10" s="185"/>
      <c r="I10" s="18"/>
      <c r="J10" s="18"/>
      <c r="K10" s="18"/>
      <c r="L10" s="18"/>
      <c r="M10" s="19"/>
      <c r="N10" s="20"/>
    </row>
    <row r="11" spans="1:14" s="24" customFormat="1" ht="12.75" customHeight="1" x14ac:dyDescent="0.25">
      <c r="A11" s="21" t="s">
        <v>21</v>
      </c>
      <c r="B11" s="22" t="s">
        <v>22</v>
      </c>
      <c r="C11" s="22" t="s">
        <v>23</v>
      </c>
      <c r="D11" s="23" t="s">
        <v>25</v>
      </c>
      <c r="F11" s="186"/>
      <c r="G11" s="187"/>
      <c r="H11" s="188"/>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78" t="s">
        <v>53</v>
      </c>
      <c r="B27" s="179"/>
      <c r="C27" s="179"/>
      <c r="D27" s="96">
        <f>SUM(Grass_28[Amount])</f>
        <v>0</v>
      </c>
      <c r="F27" s="173" t="s">
        <v>33</v>
      </c>
      <c r="G27" s="174"/>
      <c r="H27" s="174"/>
      <c r="I27" s="35"/>
      <c r="J27" s="35"/>
      <c r="K27" s="35"/>
      <c r="L27" s="35"/>
      <c r="M27" s="36"/>
      <c r="N27" s="37"/>
    </row>
    <row r="28" spans="1:14" s="40" customFormat="1" ht="11.1" customHeight="1" x14ac:dyDescent="0.3">
      <c r="A28" s="38"/>
      <c r="B28" s="38"/>
      <c r="C28" s="38"/>
      <c r="D28" s="39"/>
      <c r="F28" s="173"/>
      <c r="G28" s="174"/>
      <c r="H28" s="174"/>
      <c r="I28" s="35"/>
      <c r="J28" s="35"/>
      <c r="K28" s="35"/>
      <c r="L28" s="35"/>
      <c r="M28" s="36"/>
      <c r="N28" s="37"/>
    </row>
    <row r="29" spans="1:14" s="17" customFormat="1" ht="23.1" customHeight="1" x14ac:dyDescent="0.3">
      <c r="A29" s="191" t="s">
        <v>67</v>
      </c>
      <c r="B29" s="192"/>
      <c r="C29" s="192"/>
      <c r="D29" s="193"/>
      <c r="F29" s="183" t="s">
        <v>52</v>
      </c>
      <c r="G29" s="184"/>
      <c r="H29" s="185"/>
      <c r="I29" s="18"/>
      <c r="J29" s="18"/>
      <c r="K29" s="18"/>
      <c r="L29" s="18"/>
      <c r="M29" s="19"/>
      <c r="N29" s="20"/>
    </row>
    <row r="30" spans="1:14" s="41" customFormat="1" ht="12.75" customHeight="1" x14ac:dyDescent="0.25">
      <c r="A30" s="21" t="s">
        <v>21</v>
      </c>
      <c r="B30" s="22" t="s">
        <v>22</v>
      </c>
      <c r="C30" s="22" t="s">
        <v>23</v>
      </c>
      <c r="D30" s="23" t="s">
        <v>25</v>
      </c>
      <c r="F30" s="186"/>
      <c r="G30" s="187"/>
      <c r="H30" s="188"/>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98"/>
      <c r="J44" s="29"/>
      <c r="K44" s="29"/>
      <c r="L44" s="98"/>
      <c r="M44" s="30"/>
      <c r="N44" s="16"/>
    </row>
    <row r="45" spans="1:14" x14ac:dyDescent="0.3">
      <c r="A45" s="106"/>
      <c r="B45" s="107"/>
      <c r="C45" s="107"/>
      <c r="D45" s="114"/>
      <c r="F45" s="103"/>
      <c r="G45" s="104"/>
      <c r="H45" s="109"/>
      <c r="I45" s="98"/>
      <c r="J45" s="29"/>
      <c r="K45" s="29"/>
      <c r="L45" s="98"/>
      <c r="M45" s="30"/>
      <c r="N45" s="16"/>
    </row>
    <row r="46" spans="1:14" s="34" customFormat="1" x14ac:dyDescent="0.3">
      <c r="A46" s="178" t="s">
        <v>54</v>
      </c>
      <c r="B46" s="179"/>
      <c r="C46" s="179"/>
      <c r="D46" s="96">
        <f>SUM(Tree_28[Amount])</f>
        <v>0</v>
      </c>
      <c r="F46" s="173" t="s">
        <v>33</v>
      </c>
      <c r="G46" s="174"/>
      <c r="H46" s="174"/>
      <c r="I46" s="43"/>
      <c r="J46" s="43"/>
      <c r="K46" s="43"/>
      <c r="L46" s="43"/>
      <c r="M46" s="36"/>
      <c r="N46" s="37"/>
    </row>
    <row r="47" spans="1:14" s="40" customFormat="1" ht="11.1" customHeight="1" x14ac:dyDescent="0.3">
      <c r="A47" s="38"/>
      <c r="B47" s="38"/>
      <c r="C47" s="38"/>
      <c r="D47" s="39"/>
      <c r="F47" s="173"/>
      <c r="G47" s="174"/>
      <c r="H47" s="174"/>
      <c r="I47" s="43"/>
      <c r="J47" s="43"/>
      <c r="K47" s="43"/>
      <c r="L47" s="43"/>
      <c r="M47" s="36"/>
      <c r="N47" s="37"/>
    </row>
    <row r="48" spans="1:14" s="17" customFormat="1" ht="23.1" customHeight="1" x14ac:dyDescent="0.3">
      <c r="A48" s="191" t="s">
        <v>68</v>
      </c>
      <c r="B48" s="192"/>
      <c r="C48" s="192"/>
      <c r="D48" s="193"/>
      <c r="F48" s="183" t="s">
        <v>55</v>
      </c>
      <c r="G48" s="184"/>
      <c r="H48" s="185"/>
      <c r="I48" s="44"/>
      <c r="J48" s="44"/>
      <c r="K48" s="44"/>
      <c r="L48" s="44"/>
      <c r="M48" s="19"/>
      <c r="N48" s="20"/>
    </row>
    <row r="49" spans="1:14" s="41" customFormat="1" ht="12.75" customHeight="1" x14ac:dyDescent="0.25">
      <c r="A49" s="21" t="s">
        <v>21</v>
      </c>
      <c r="B49" s="22" t="s">
        <v>22</v>
      </c>
      <c r="C49" s="22" t="s">
        <v>23</v>
      </c>
      <c r="D49" s="23" t="s">
        <v>25</v>
      </c>
      <c r="F49" s="186"/>
      <c r="G49" s="187"/>
      <c r="H49" s="188"/>
      <c r="I49" s="98"/>
      <c r="J49" s="98"/>
      <c r="K49" s="98"/>
      <c r="L49" s="98"/>
      <c r="M49" s="30"/>
      <c r="N49" s="42"/>
    </row>
    <row r="50" spans="1:14" x14ac:dyDescent="0.3">
      <c r="A50" s="100"/>
      <c r="B50" s="101"/>
      <c r="C50" s="101"/>
      <c r="D50" s="112"/>
      <c r="F50" s="103"/>
      <c r="G50" s="104"/>
      <c r="H50" s="109"/>
      <c r="I50" s="98"/>
      <c r="J50" s="98"/>
      <c r="K50" s="98"/>
      <c r="L50" s="98"/>
      <c r="M50" s="30"/>
      <c r="N50" s="16"/>
    </row>
    <row r="51" spans="1:14" x14ac:dyDescent="0.3">
      <c r="A51" s="106"/>
      <c r="B51" s="107"/>
      <c r="C51" s="107"/>
      <c r="D51" s="113"/>
      <c r="F51" s="103"/>
      <c r="G51" s="104"/>
      <c r="H51" s="109"/>
      <c r="I51" s="98"/>
      <c r="J51" s="98"/>
      <c r="K51" s="98"/>
      <c r="L51" s="98"/>
      <c r="M51" s="30"/>
      <c r="N51" s="16"/>
    </row>
    <row r="52" spans="1:14" x14ac:dyDescent="0.3">
      <c r="A52" s="106"/>
      <c r="B52" s="107"/>
      <c r="C52" s="107"/>
      <c r="D52" s="114"/>
      <c r="F52" s="103"/>
      <c r="H52" s="109"/>
      <c r="I52" s="98"/>
      <c r="J52" s="98"/>
      <c r="K52" s="98"/>
      <c r="L52" s="98"/>
      <c r="M52" s="30"/>
      <c r="N52" s="16"/>
    </row>
    <row r="53" spans="1:14" x14ac:dyDescent="0.3">
      <c r="A53" s="106"/>
      <c r="B53" s="107"/>
      <c r="C53" s="107"/>
      <c r="D53" s="113"/>
      <c r="F53" s="103"/>
      <c r="G53" s="104"/>
      <c r="H53" s="109"/>
      <c r="I53" s="98"/>
      <c r="J53" s="98"/>
      <c r="K53" s="98"/>
      <c r="L53" s="98"/>
      <c r="M53" s="30"/>
      <c r="N53" s="16"/>
    </row>
    <row r="54" spans="1:14" x14ac:dyDescent="0.3">
      <c r="A54" s="106"/>
      <c r="B54" s="107"/>
      <c r="C54" s="107"/>
      <c r="D54" s="114"/>
      <c r="F54" s="103"/>
      <c r="G54" s="104"/>
      <c r="H54" s="109"/>
      <c r="I54" s="98"/>
      <c r="J54" s="98"/>
      <c r="K54" s="98"/>
      <c r="L54" s="98"/>
      <c r="M54" s="30"/>
      <c r="N54" s="16"/>
    </row>
    <row r="55" spans="1:14" x14ac:dyDescent="0.3">
      <c r="A55" s="106"/>
      <c r="B55" s="107"/>
      <c r="C55" s="107"/>
      <c r="D55" s="113"/>
      <c r="F55" s="103"/>
      <c r="G55" s="104"/>
      <c r="H55" s="109"/>
      <c r="I55" s="98"/>
      <c r="J55" s="98"/>
      <c r="K55" s="98"/>
      <c r="L55" s="98"/>
      <c r="M55" s="30"/>
      <c r="N55" s="16"/>
    </row>
    <row r="56" spans="1:14" x14ac:dyDescent="0.3">
      <c r="A56" s="106"/>
      <c r="B56" s="107"/>
      <c r="C56" s="107"/>
      <c r="D56" s="114"/>
      <c r="F56" s="103"/>
      <c r="G56" s="104"/>
      <c r="H56" s="109"/>
      <c r="I56" s="98"/>
      <c r="J56" s="98"/>
      <c r="K56" s="98"/>
      <c r="L56" s="98"/>
      <c r="M56" s="30"/>
      <c r="N56" s="16"/>
    </row>
    <row r="57" spans="1:14" x14ac:dyDescent="0.3">
      <c r="A57" s="106"/>
      <c r="B57" s="107"/>
      <c r="C57" s="107"/>
      <c r="D57" s="113"/>
      <c r="F57" s="103"/>
      <c r="G57" s="104"/>
      <c r="H57" s="109"/>
      <c r="I57" s="98"/>
      <c r="J57" s="98"/>
      <c r="K57" s="98"/>
      <c r="L57" s="98"/>
      <c r="M57" s="30"/>
      <c r="N57" s="16"/>
    </row>
    <row r="58" spans="1:14" x14ac:dyDescent="0.3">
      <c r="A58" s="106"/>
      <c r="B58" s="107"/>
      <c r="C58" s="107"/>
      <c r="D58" s="114"/>
      <c r="F58" s="103"/>
      <c r="G58" s="104"/>
      <c r="H58" s="109"/>
      <c r="I58" s="98"/>
      <c r="J58" s="98"/>
      <c r="K58" s="98"/>
      <c r="L58" s="98"/>
      <c r="M58" s="30"/>
      <c r="N58" s="16"/>
    </row>
    <row r="59" spans="1:14" x14ac:dyDescent="0.3">
      <c r="A59" s="106"/>
      <c r="B59" s="107"/>
      <c r="C59" s="107"/>
      <c r="D59" s="113"/>
      <c r="F59" s="103"/>
      <c r="G59" s="104"/>
      <c r="H59" s="109"/>
      <c r="I59" s="98"/>
      <c r="J59" s="190"/>
      <c r="K59" s="190"/>
      <c r="L59" s="98"/>
      <c r="M59" s="30"/>
      <c r="N59" s="16"/>
    </row>
    <row r="60" spans="1:14" x14ac:dyDescent="0.3">
      <c r="A60" s="106"/>
      <c r="B60" s="107"/>
      <c r="C60" s="107"/>
      <c r="D60" s="114"/>
      <c r="F60" s="103"/>
      <c r="G60" s="104"/>
      <c r="H60" s="109"/>
      <c r="I60" s="189"/>
      <c r="J60" s="189"/>
      <c r="K60" s="189"/>
      <c r="L60" s="189"/>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78" t="s">
        <v>56</v>
      </c>
      <c r="B65" s="179"/>
      <c r="C65" s="179"/>
      <c r="D65" s="96">
        <f>SUM(Pest_28[Amount])</f>
        <v>0</v>
      </c>
      <c r="F65" s="173" t="s">
        <v>33</v>
      </c>
      <c r="G65" s="174"/>
      <c r="H65" s="174"/>
    </row>
    <row r="66" spans="1:8" x14ac:dyDescent="0.3">
      <c r="F66" s="173"/>
      <c r="G66" s="174"/>
      <c r="H66" s="174"/>
    </row>
    <row r="67" spans="1:8" ht="17.399999999999999" x14ac:dyDescent="0.3">
      <c r="A67" s="198" t="s">
        <v>69</v>
      </c>
      <c r="B67" s="198"/>
      <c r="C67" s="198"/>
      <c r="D67" s="198"/>
      <c r="E67" s="17"/>
      <c r="F67" s="183" t="s">
        <v>57</v>
      </c>
      <c r="G67" s="184"/>
      <c r="H67" s="185"/>
    </row>
    <row r="68" spans="1:8" x14ac:dyDescent="0.3">
      <c r="A68" s="21" t="s">
        <v>21</v>
      </c>
      <c r="B68" s="22" t="s">
        <v>22</v>
      </c>
      <c r="C68" s="22" t="s">
        <v>23</v>
      </c>
      <c r="D68" s="23" t="s">
        <v>25</v>
      </c>
      <c r="E68" s="24"/>
      <c r="F68" s="186"/>
      <c r="G68" s="187"/>
      <c r="H68" s="188"/>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78" t="s">
        <v>58</v>
      </c>
      <c r="B84" s="179"/>
      <c r="C84" s="179"/>
      <c r="D84" s="96">
        <f>SUM(Garbage_28[Amount])</f>
        <v>0</v>
      </c>
      <c r="E84" s="34"/>
      <c r="F84" s="173" t="s">
        <v>33</v>
      </c>
      <c r="G84" s="174"/>
      <c r="H84" s="174"/>
    </row>
    <row r="85" spans="1:8" x14ac:dyDescent="0.3">
      <c r="A85" s="38"/>
      <c r="B85" s="38"/>
      <c r="C85" s="38"/>
      <c r="D85" s="39"/>
      <c r="E85" s="40"/>
      <c r="F85" s="173"/>
      <c r="G85" s="174"/>
      <c r="H85" s="174"/>
    </row>
    <row r="86" spans="1:8" ht="17.399999999999999" x14ac:dyDescent="0.3">
      <c r="A86" s="191" t="s">
        <v>59</v>
      </c>
      <c r="B86" s="192"/>
      <c r="C86" s="192"/>
      <c r="D86" s="193"/>
      <c r="E86" s="17"/>
      <c r="F86" s="183" t="s">
        <v>60</v>
      </c>
      <c r="G86" s="184"/>
      <c r="H86" s="185"/>
    </row>
    <row r="87" spans="1:8" x14ac:dyDescent="0.3">
      <c r="A87" s="21" t="s">
        <v>21</v>
      </c>
      <c r="B87" s="22" t="s">
        <v>22</v>
      </c>
      <c r="C87" s="22" t="s">
        <v>23</v>
      </c>
      <c r="D87" s="23" t="s">
        <v>25</v>
      </c>
      <c r="E87" s="41"/>
      <c r="F87" s="186"/>
      <c r="G87" s="187"/>
      <c r="H87" s="188"/>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78" t="s">
        <v>61</v>
      </c>
      <c r="B103" s="179"/>
      <c r="C103" s="179"/>
      <c r="D103" s="96">
        <f>SUM(Boarding_28[Amount])</f>
        <v>0</v>
      </c>
      <c r="E103" s="34"/>
      <c r="F103" s="173" t="s">
        <v>33</v>
      </c>
      <c r="G103" s="174"/>
      <c r="H103" s="174"/>
    </row>
    <row r="104" spans="1:8" x14ac:dyDescent="0.3">
      <c r="A104" s="38"/>
      <c r="B104" s="38"/>
      <c r="C104" s="38"/>
      <c r="D104" s="39"/>
      <c r="E104" s="40"/>
      <c r="F104" s="173"/>
      <c r="G104" s="174"/>
      <c r="H104" s="174"/>
    </row>
    <row r="105" spans="1:8" ht="17.399999999999999" x14ac:dyDescent="0.3">
      <c r="A105" s="191" t="s">
        <v>70</v>
      </c>
      <c r="B105" s="192"/>
      <c r="C105" s="192"/>
      <c r="D105" s="193"/>
      <c r="E105" s="17"/>
      <c r="F105" s="183" t="s">
        <v>62</v>
      </c>
      <c r="G105" s="184"/>
      <c r="H105" s="185"/>
    </row>
    <row r="106" spans="1:8" x14ac:dyDescent="0.3">
      <c r="A106" s="21" t="s">
        <v>21</v>
      </c>
      <c r="B106" s="22" t="s">
        <v>22</v>
      </c>
      <c r="C106" s="22" t="s">
        <v>23</v>
      </c>
      <c r="D106" s="23" t="s">
        <v>25</v>
      </c>
      <c r="E106" s="41"/>
      <c r="F106" s="186"/>
      <c r="G106" s="187"/>
      <c r="H106" s="188"/>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78" t="s">
        <v>63</v>
      </c>
      <c r="B122" s="179"/>
      <c r="C122" s="179"/>
      <c r="D122" s="96">
        <f>SUM(Fence_28[Amount])</f>
        <v>0</v>
      </c>
      <c r="E122" s="34"/>
      <c r="F122" s="173" t="s">
        <v>33</v>
      </c>
      <c r="G122" s="174"/>
      <c r="H122" s="174"/>
    </row>
    <row r="123" spans="1:8" x14ac:dyDescent="0.3">
      <c r="F123" s="173"/>
      <c r="G123" s="174"/>
      <c r="H123" s="174"/>
    </row>
    <row r="124" spans="1:8" ht="17.399999999999999" x14ac:dyDescent="0.3">
      <c r="A124" s="191" t="s">
        <v>26</v>
      </c>
      <c r="B124" s="192"/>
      <c r="C124" s="192"/>
      <c r="D124" s="193"/>
      <c r="E124" s="17"/>
      <c r="F124" s="183" t="s">
        <v>11</v>
      </c>
      <c r="G124" s="184"/>
      <c r="H124" s="185"/>
    </row>
    <row r="125" spans="1:8" x14ac:dyDescent="0.3">
      <c r="A125" s="21" t="s">
        <v>21</v>
      </c>
      <c r="B125" s="22" t="s">
        <v>22</v>
      </c>
      <c r="C125" s="22" t="s">
        <v>23</v>
      </c>
      <c r="D125" s="23" t="s">
        <v>25</v>
      </c>
      <c r="E125" s="41"/>
      <c r="F125" s="186"/>
      <c r="G125" s="187"/>
      <c r="H125" s="188"/>
    </row>
    <row r="126" spans="1:8" x14ac:dyDescent="0.3">
      <c r="A126" s="100"/>
      <c r="B126" s="101"/>
      <c r="C126" s="101"/>
      <c r="D126" s="112">
        <v>31810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78" t="s">
        <v>27</v>
      </c>
      <c r="B141" s="179"/>
      <c r="C141" s="179"/>
      <c r="D141" s="96">
        <f>SUM(Demolition_28[Amount])</f>
        <v>31810</v>
      </c>
      <c r="E141" s="34"/>
      <c r="F141" s="173" t="s">
        <v>33</v>
      </c>
      <c r="G141" s="174"/>
      <c r="H141" s="174"/>
    </row>
    <row r="142" spans="1:8" x14ac:dyDescent="0.3">
      <c r="A142" s="38"/>
      <c r="B142" s="38"/>
      <c r="C142" s="38"/>
      <c r="D142" s="39"/>
      <c r="E142" s="40"/>
      <c r="F142" s="173"/>
      <c r="G142" s="174"/>
      <c r="H142" s="174"/>
    </row>
    <row r="143" spans="1:8" ht="17.399999999999999" x14ac:dyDescent="0.3">
      <c r="A143" s="191" t="s">
        <v>64</v>
      </c>
      <c r="B143" s="192"/>
      <c r="C143" s="192"/>
      <c r="D143" s="193"/>
      <c r="E143" s="17"/>
      <c r="F143" s="183" t="s">
        <v>44</v>
      </c>
      <c r="G143" s="184"/>
      <c r="H143" s="185"/>
    </row>
    <row r="144" spans="1:8" x14ac:dyDescent="0.3">
      <c r="A144" s="21" t="s">
        <v>21</v>
      </c>
      <c r="B144" s="22" t="s">
        <v>22</v>
      </c>
      <c r="C144" s="22" t="s">
        <v>23</v>
      </c>
      <c r="D144" s="23" t="s">
        <v>25</v>
      </c>
      <c r="E144" s="41"/>
      <c r="F144" s="186"/>
      <c r="G144" s="187"/>
      <c r="H144" s="188"/>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78" t="s">
        <v>65</v>
      </c>
      <c r="B160" s="179"/>
      <c r="C160" s="179"/>
      <c r="D160" s="96">
        <f>SUM(Rehab_28[Amount])</f>
        <v>0</v>
      </c>
      <c r="E160" s="34"/>
      <c r="F160" s="173" t="s">
        <v>33</v>
      </c>
      <c r="G160" s="174"/>
      <c r="H160" s="174"/>
    </row>
    <row r="161" spans="6:8" x14ac:dyDescent="0.3">
      <c r="F161" s="173"/>
      <c r="G161" s="174"/>
      <c r="H161" s="174"/>
    </row>
  </sheetData>
  <sheetProtection algorithmName="SHA-512" hashValue="dI78EWk7Z4ASn+D6OlCGykzac+VvLhKxell3gqCdvsU9/4Ra7NpF46JzMvvXRt5uEti2dF9L2EOtX5a48iuT2Q==" saltValue="FKx2NoWe4PxOsQJzmO3txw=="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N161"/>
  <sheetViews>
    <sheetView showGridLines="0" zoomScaleNormal="100" workbookViewId="0">
      <pane ySplit="9" topLeftCell="A121" activePane="bottomLeft" state="frozen"/>
      <selection pane="bottomLeft" activeCell="D126" sqref="D126"/>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5" t="s">
        <v>24</v>
      </c>
      <c r="B1" s="175"/>
      <c r="C1" s="175"/>
      <c r="D1" s="175"/>
      <c r="E1" s="1"/>
      <c r="F1" s="2"/>
      <c r="G1" s="2"/>
      <c r="H1" s="1"/>
    </row>
    <row r="2" spans="1:14" ht="24.9" customHeight="1" x14ac:dyDescent="0.3">
      <c r="A2" s="176" t="s">
        <v>71</v>
      </c>
      <c r="B2" s="176"/>
      <c r="C2" s="176"/>
      <c r="D2" s="176"/>
      <c r="E2" s="4"/>
      <c r="F2" s="90"/>
      <c r="G2" s="90"/>
      <c r="H2" s="5"/>
    </row>
    <row r="3" spans="1:14" ht="31.5" customHeight="1" x14ac:dyDescent="0.3">
      <c r="A3" s="176"/>
      <c r="B3" s="176"/>
      <c r="C3" s="176"/>
      <c r="D3" s="176"/>
      <c r="E3" s="4"/>
      <c r="F3" s="90"/>
      <c r="G3" s="90"/>
      <c r="H3" s="5"/>
    </row>
    <row r="4" spans="1:14" ht="15" customHeight="1" x14ac:dyDescent="0.25">
      <c r="A4" s="75" t="s">
        <v>19</v>
      </c>
      <c r="B4" s="194" t="str">
        <f>IF('Summary Sheet'!B34="","",'Summary Sheet'!B34)</f>
        <v>126 E 118TH PL</v>
      </c>
      <c r="C4" s="194"/>
      <c r="D4" s="90"/>
      <c r="E4" s="4"/>
      <c r="F4" s="90"/>
      <c r="G4" s="90"/>
      <c r="H4" s="5"/>
    </row>
    <row r="5" spans="1:14" ht="15" customHeight="1" x14ac:dyDescent="0.25">
      <c r="A5" s="75" t="s">
        <v>20</v>
      </c>
      <c r="B5" s="195" t="str">
        <f>IF('Summary Sheet'!C34="","",'Summary Sheet'!C34)</f>
        <v/>
      </c>
      <c r="C5" s="195"/>
      <c r="D5" s="90"/>
      <c r="E5" s="4"/>
      <c r="F5" s="90"/>
      <c r="G5" s="90"/>
      <c r="H5" s="5"/>
    </row>
    <row r="6" spans="1:14" ht="15" customHeight="1" x14ac:dyDescent="0.25">
      <c r="A6" s="75" t="s">
        <v>36</v>
      </c>
      <c r="B6" s="177"/>
      <c r="C6" s="177"/>
      <c r="D6" s="6"/>
      <c r="E6" s="7"/>
    </row>
    <row r="7" spans="1:14" ht="15" customHeight="1" x14ac:dyDescent="0.25">
      <c r="A7" s="7"/>
      <c r="B7" s="196" t="s">
        <v>34</v>
      </c>
      <c r="C7" s="196"/>
      <c r="D7" s="10"/>
    </row>
    <row r="8" spans="1:14" ht="20.100000000000001" customHeight="1" x14ac:dyDescent="0.25">
      <c r="B8" s="11"/>
      <c r="C8" s="11"/>
      <c r="D8" s="12" t="s">
        <v>31</v>
      </c>
      <c r="F8" s="180" t="s">
        <v>32</v>
      </c>
      <c r="G8" s="181"/>
      <c r="H8" s="182"/>
    </row>
    <row r="9" spans="1:14" s="14" customFormat="1" ht="20.100000000000001" customHeight="1" x14ac:dyDescent="0.25">
      <c r="A9" s="197"/>
      <c r="B9" s="197"/>
      <c r="C9" s="197"/>
      <c r="D9" s="13">
        <f>SUM(D27,D46,D65,D84,D103,D122,D141,D160)</f>
        <v>23210</v>
      </c>
      <c r="F9" s="15" t="s">
        <v>28</v>
      </c>
      <c r="G9" s="15" t="s">
        <v>29</v>
      </c>
      <c r="H9" s="15" t="s">
        <v>30</v>
      </c>
      <c r="I9" s="16"/>
      <c r="J9" s="16"/>
      <c r="K9" s="16"/>
      <c r="L9" s="16"/>
      <c r="M9" s="16"/>
      <c r="N9" s="16"/>
    </row>
    <row r="10" spans="1:14" s="17" customFormat="1" ht="23.1" customHeight="1" x14ac:dyDescent="0.3">
      <c r="A10" s="198" t="s">
        <v>51</v>
      </c>
      <c r="B10" s="198"/>
      <c r="C10" s="198"/>
      <c r="D10" s="198"/>
      <c r="F10" s="183" t="s">
        <v>66</v>
      </c>
      <c r="G10" s="184"/>
      <c r="H10" s="185"/>
      <c r="I10" s="18"/>
      <c r="J10" s="18"/>
      <c r="K10" s="18"/>
      <c r="L10" s="18"/>
      <c r="M10" s="19"/>
      <c r="N10" s="20"/>
    </row>
    <row r="11" spans="1:14" s="24" customFormat="1" ht="12.75" customHeight="1" x14ac:dyDescent="0.25">
      <c r="A11" s="21" t="s">
        <v>21</v>
      </c>
      <c r="B11" s="22" t="s">
        <v>22</v>
      </c>
      <c r="C11" s="22" t="s">
        <v>23</v>
      </c>
      <c r="D11" s="23" t="s">
        <v>25</v>
      </c>
      <c r="F11" s="186"/>
      <c r="G11" s="187"/>
      <c r="H11" s="188"/>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78" t="s">
        <v>53</v>
      </c>
      <c r="B27" s="179"/>
      <c r="C27" s="179"/>
      <c r="D27" s="96">
        <f>SUM(Grass_2[Amount])</f>
        <v>0</v>
      </c>
      <c r="F27" s="173" t="s">
        <v>33</v>
      </c>
      <c r="G27" s="174"/>
      <c r="H27" s="174"/>
      <c r="I27" s="35"/>
      <c r="J27" s="35"/>
      <c r="K27" s="35"/>
      <c r="L27" s="35"/>
      <c r="M27" s="36"/>
      <c r="N27" s="37"/>
    </row>
    <row r="28" spans="1:14" s="40" customFormat="1" ht="11.1" customHeight="1" x14ac:dyDescent="0.3">
      <c r="A28" s="38"/>
      <c r="B28" s="38"/>
      <c r="C28" s="38"/>
      <c r="D28" s="39"/>
      <c r="F28" s="173"/>
      <c r="G28" s="174"/>
      <c r="H28" s="174"/>
      <c r="I28" s="35"/>
      <c r="J28" s="35"/>
      <c r="K28" s="35"/>
      <c r="L28" s="35"/>
      <c r="M28" s="36"/>
      <c r="N28" s="37"/>
    </row>
    <row r="29" spans="1:14" s="17" customFormat="1" ht="23.1" customHeight="1" x14ac:dyDescent="0.3">
      <c r="A29" s="191" t="s">
        <v>67</v>
      </c>
      <c r="B29" s="192"/>
      <c r="C29" s="192"/>
      <c r="D29" s="193"/>
      <c r="F29" s="183" t="s">
        <v>52</v>
      </c>
      <c r="G29" s="184"/>
      <c r="H29" s="185"/>
      <c r="I29" s="18"/>
      <c r="J29" s="18"/>
      <c r="K29" s="18"/>
      <c r="L29" s="18"/>
      <c r="M29" s="19"/>
      <c r="N29" s="20"/>
    </row>
    <row r="30" spans="1:14" s="41" customFormat="1" ht="12.75" customHeight="1" x14ac:dyDescent="0.25">
      <c r="A30" s="21" t="s">
        <v>21</v>
      </c>
      <c r="B30" s="22" t="s">
        <v>22</v>
      </c>
      <c r="C30" s="22" t="s">
        <v>23</v>
      </c>
      <c r="D30" s="23" t="s">
        <v>25</v>
      </c>
      <c r="F30" s="186"/>
      <c r="G30" s="187"/>
      <c r="H30" s="188"/>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89"/>
      <c r="J44" s="29"/>
      <c r="K44" s="29"/>
      <c r="L44" s="89"/>
      <c r="M44" s="30"/>
      <c r="N44" s="16"/>
    </row>
    <row r="45" spans="1:14" x14ac:dyDescent="0.3">
      <c r="A45" s="106"/>
      <c r="B45" s="107"/>
      <c r="C45" s="107"/>
      <c r="D45" s="114"/>
      <c r="F45" s="103"/>
      <c r="G45" s="104"/>
      <c r="H45" s="109"/>
      <c r="I45" s="89"/>
      <c r="J45" s="29"/>
      <c r="K45" s="29"/>
      <c r="L45" s="89"/>
      <c r="M45" s="30"/>
      <c r="N45" s="16"/>
    </row>
    <row r="46" spans="1:14" s="34" customFormat="1" x14ac:dyDescent="0.3">
      <c r="A46" s="178" t="s">
        <v>54</v>
      </c>
      <c r="B46" s="179"/>
      <c r="C46" s="179"/>
      <c r="D46" s="96">
        <f>SUM(Tree_2[Amount])</f>
        <v>0</v>
      </c>
      <c r="F46" s="173" t="s">
        <v>33</v>
      </c>
      <c r="G46" s="174"/>
      <c r="H46" s="174"/>
      <c r="I46" s="43"/>
      <c r="J46" s="43"/>
      <c r="K46" s="43"/>
      <c r="L46" s="43"/>
      <c r="M46" s="36"/>
      <c r="N46" s="37"/>
    </row>
    <row r="47" spans="1:14" s="40" customFormat="1" ht="11.1" customHeight="1" x14ac:dyDescent="0.3">
      <c r="A47" s="38"/>
      <c r="B47" s="38"/>
      <c r="C47" s="38"/>
      <c r="D47" s="39"/>
      <c r="F47" s="173"/>
      <c r="G47" s="174"/>
      <c r="H47" s="174"/>
      <c r="I47" s="43"/>
      <c r="J47" s="43"/>
      <c r="K47" s="43"/>
      <c r="L47" s="43"/>
      <c r="M47" s="36"/>
      <c r="N47" s="37"/>
    </row>
    <row r="48" spans="1:14" s="17" customFormat="1" ht="23.1" customHeight="1" x14ac:dyDescent="0.3">
      <c r="A48" s="191" t="s">
        <v>68</v>
      </c>
      <c r="B48" s="192"/>
      <c r="C48" s="192"/>
      <c r="D48" s="193"/>
      <c r="F48" s="183" t="s">
        <v>55</v>
      </c>
      <c r="G48" s="184"/>
      <c r="H48" s="185"/>
      <c r="I48" s="44"/>
      <c r="J48" s="44"/>
      <c r="K48" s="44"/>
      <c r="L48" s="44"/>
      <c r="M48" s="19"/>
      <c r="N48" s="20"/>
    </row>
    <row r="49" spans="1:14" s="41" customFormat="1" ht="12.75" customHeight="1" x14ac:dyDescent="0.25">
      <c r="A49" s="21" t="s">
        <v>21</v>
      </c>
      <c r="B49" s="22" t="s">
        <v>22</v>
      </c>
      <c r="C49" s="22" t="s">
        <v>23</v>
      </c>
      <c r="D49" s="23" t="s">
        <v>25</v>
      </c>
      <c r="F49" s="186"/>
      <c r="G49" s="187"/>
      <c r="H49" s="188"/>
      <c r="I49" s="89"/>
      <c r="J49" s="89"/>
      <c r="K49" s="89"/>
      <c r="L49" s="89"/>
      <c r="M49" s="30"/>
      <c r="N49" s="42"/>
    </row>
    <row r="50" spans="1:14" x14ac:dyDescent="0.3">
      <c r="A50" s="100"/>
      <c r="B50" s="101"/>
      <c r="C50" s="101"/>
      <c r="D50" s="112"/>
      <c r="F50" s="103"/>
      <c r="G50" s="104"/>
      <c r="H50" s="109"/>
      <c r="I50" s="89"/>
      <c r="J50" s="89"/>
      <c r="K50" s="89"/>
      <c r="L50" s="89"/>
      <c r="M50" s="30"/>
      <c r="N50" s="16"/>
    </row>
    <row r="51" spans="1:14" x14ac:dyDescent="0.3">
      <c r="A51" s="106"/>
      <c r="B51" s="107"/>
      <c r="C51" s="107"/>
      <c r="D51" s="113"/>
      <c r="F51" s="103"/>
      <c r="G51" s="104"/>
      <c r="H51" s="109"/>
      <c r="I51" s="89"/>
      <c r="J51" s="89"/>
      <c r="K51" s="89"/>
      <c r="L51" s="89"/>
      <c r="M51" s="30"/>
      <c r="N51" s="16"/>
    </row>
    <row r="52" spans="1:14" x14ac:dyDescent="0.3">
      <c r="A52" s="106"/>
      <c r="B52" s="107"/>
      <c r="C52" s="107"/>
      <c r="D52" s="114"/>
      <c r="F52" s="103"/>
      <c r="H52" s="109"/>
      <c r="I52" s="89"/>
      <c r="J52" s="89"/>
      <c r="K52" s="89"/>
      <c r="L52" s="89"/>
      <c r="M52" s="30"/>
      <c r="N52" s="16"/>
    </row>
    <row r="53" spans="1:14" x14ac:dyDescent="0.3">
      <c r="A53" s="106"/>
      <c r="B53" s="107"/>
      <c r="C53" s="107"/>
      <c r="D53" s="113"/>
      <c r="F53" s="103"/>
      <c r="G53" s="104"/>
      <c r="H53" s="109"/>
      <c r="I53" s="89"/>
      <c r="J53" s="89"/>
      <c r="K53" s="89"/>
      <c r="L53" s="89"/>
      <c r="M53" s="30"/>
      <c r="N53" s="16"/>
    </row>
    <row r="54" spans="1:14" x14ac:dyDescent="0.3">
      <c r="A54" s="106"/>
      <c r="B54" s="107"/>
      <c r="C54" s="107"/>
      <c r="D54" s="114"/>
      <c r="F54" s="103"/>
      <c r="G54" s="104"/>
      <c r="H54" s="109"/>
      <c r="I54" s="89"/>
      <c r="J54" s="89"/>
      <c r="K54" s="89"/>
      <c r="L54" s="89"/>
      <c r="M54" s="30"/>
      <c r="N54" s="16"/>
    </row>
    <row r="55" spans="1:14" x14ac:dyDescent="0.3">
      <c r="A55" s="106"/>
      <c r="B55" s="107"/>
      <c r="C55" s="107"/>
      <c r="D55" s="113"/>
      <c r="F55" s="103"/>
      <c r="G55" s="104"/>
      <c r="H55" s="109"/>
      <c r="I55" s="89"/>
      <c r="J55" s="89"/>
      <c r="K55" s="89"/>
      <c r="L55" s="89"/>
      <c r="M55" s="30"/>
      <c r="N55" s="16"/>
    </row>
    <row r="56" spans="1:14" x14ac:dyDescent="0.3">
      <c r="A56" s="106"/>
      <c r="B56" s="107"/>
      <c r="C56" s="107"/>
      <c r="D56" s="114"/>
      <c r="F56" s="103"/>
      <c r="G56" s="104"/>
      <c r="H56" s="109"/>
      <c r="I56" s="89"/>
      <c r="J56" s="89"/>
      <c r="K56" s="89"/>
      <c r="L56" s="89"/>
      <c r="M56" s="30"/>
      <c r="N56" s="16"/>
    </row>
    <row r="57" spans="1:14" x14ac:dyDescent="0.3">
      <c r="A57" s="106"/>
      <c r="B57" s="107"/>
      <c r="C57" s="107"/>
      <c r="D57" s="113"/>
      <c r="F57" s="103"/>
      <c r="G57" s="104"/>
      <c r="H57" s="109"/>
      <c r="I57" s="89"/>
      <c r="J57" s="89"/>
      <c r="K57" s="89"/>
      <c r="L57" s="89"/>
      <c r="M57" s="30"/>
      <c r="N57" s="16"/>
    </row>
    <row r="58" spans="1:14" x14ac:dyDescent="0.3">
      <c r="A58" s="106"/>
      <c r="B58" s="107"/>
      <c r="C58" s="107"/>
      <c r="D58" s="114"/>
      <c r="F58" s="103"/>
      <c r="G58" s="104"/>
      <c r="H58" s="109"/>
      <c r="I58" s="89"/>
      <c r="J58" s="89"/>
      <c r="K58" s="89"/>
      <c r="L58" s="89"/>
      <c r="M58" s="30"/>
      <c r="N58" s="16"/>
    </row>
    <row r="59" spans="1:14" x14ac:dyDescent="0.3">
      <c r="A59" s="106"/>
      <c r="B59" s="107"/>
      <c r="C59" s="107"/>
      <c r="D59" s="113"/>
      <c r="F59" s="103"/>
      <c r="G59" s="104"/>
      <c r="H59" s="109"/>
      <c r="I59" s="89"/>
      <c r="J59" s="190"/>
      <c r="K59" s="190"/>
      <c r="L59" s="89"/>
      <c r="M59" s="30"/>
      <c r="N59" s="16"/>
    </row>
    <row r="60" spans="1:14" x14ac:dyDescent="0.3">
      <c r="A60" s="106"/>
      <c r="B60" s="107"/>
      <c r="C60" s="107"/>
      <c r="D60" s="114"/>
      <c r="F60" s="103"/>
      <c r="G60" s="104"/>
      <c r="H60" s="109"/>
      <c r="I60" s="189"/>
      <c r="J60" s="189"/>
      <c r="K60" s="189"/>
      <c r="L60" s="189"/>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78" t="s">
        <v>56</v>
      </c>
      <c r="B65" s="179"/>
      <c r="C65" s="179"/>
      <c r="D65" s="96">
        <f>SUM(Pest_2[Amount])</f>
        <v>0</v>
      </c>
      <c r="F65" s="173" t="s">
        <v>33</v>
      </c>
      <c r="G65" s="174"/>
      <c r="H65" s="174"/>
    </row>
    <row r="66" spans="1:8" x14ac:dyDescent="0.3">
      <c r="F66" s="173"/>
      <c r="G66" s="174"/>
      <c r="H66" s="174"/>
    </row>
    <row r="67" spans="1:8" ht="17.399999999999999" x14ac:dyDescent="0.3">
      <c r="A67" s="198" t="s">
        <v>69</v>
      </c>
      <c r="B67" s="198"/>
      <c r="C67" s="198"/>
      <c r="D67" s="198"/>
      <c r="E67" s="17"/>
      <c r="F67" s="183" t="s">
        <v>57</v>
      </c>
      <c r="G67" s="184"/>
      <c r="H67" s="185"/>
    </row>
    <row r="68" spans="1:8" x14ac:dyDescent="0.3">
      <c r="A68" s="21" t="s">
        <v>21</v>
      </c>
      <c r="B68" s="22" t="s">
        <v>22</v>
      </c>
      <c r="C68" s="22" t="s">
        <v>23</v>
      </c>
      <c r="D68" s="23" t="s">
        <v>25</v>
      </c>
      <c r="E68" s="24"/>
      <c r="F68" s="186"/>
      <c r="G68" s="187"/>
      <c r="H68" s="188"/>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78" t="s">
        <v>58</v>
      </c>
      <c r="B84" s="179"/>
      <c r="C84" s="179"/>
      <c r="D84" s="96">
        <f>SUM(Garbage_2[Amount])</f>
        <v>0</v>
      </c>
      <c r="E84" s="34"/>
      <c r="F84" s="173" t="s">
        <v>33</v>
      </c>
      <c r="G84" s="174"/>
      <c r="H84" s="174"/>
    </row>
    <row r="85" spans="1:8" x14ac:dyDescent="0.3">
      <c r="A85" s="38"/>
      <c r="B85" s="38"/>
      <c r="C85" s="38"/>
      <c r="D85" s="39"/>
      <c r="E85" s="40"/>
      <c r="F85" s="173"/>
      <c r="G85" s="174"/>
      <c r="H85" s="174"/>
    </row>
    <row r="86" spans="1:8" ht="17.399999999999999" x14ac:dyDescent="0.3">
      <c r="A86" s="191" t="s">
        <v>59</v>
      </c>
      <c r="B86" s="192"/>
      <c r="C86" s="192"/>
      <c r="D86" s="193"/>
      <c r="E86" s="17"/>
      <c r="F86" s="183" t="s">
        <v>60</v>
      </c>
      <c r="G86" s="184"/>
      <c r="H86" s="185"/>
    </row>
    <row r="87" spans="1:8" x14ac:dyDescent="0.3">
      <c r="A87" s="21" t="s">
        <v>21</v>
      </c>
      <c r="B87" s="22" t="s">
        <v>22</v>
      </c>
      <c r="C87" s="22" t="s">
        <v>23</v>
      </c>
      <c r="D87" s="23" t="s">
        <v>25</v>
      </c>
      <c r="E87" s="41"/>
      <c r="F87" s="186"/>
      <c r="G87" s="187"/>
      <c r="H87" s="188"/>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78" t="s">
        <v>61</v>
      </c>
      <c r="B103" s="179"/>
      <c r="C103" s="179"/>
      <c r="D103" s="96">
        <f>SUM(Boarding_2[Amount])</f>
        <v>0</v>
      </c>
      <c r="E103" s="34"/>
      <c r="F103" s="173" t="s">
        <v>33</v>
      </c>
      <c r="G103" s="174"/>
      <c r="H103" s="174"/>
    </row>
    <row r="104" spans="1:8" x14ac:dyDescent="0.3">
      <c r="A104" s="38"/>
      <c r="B104" s="38"/>
      <c r="C104" s="38"/>
      <c r="D104" s="39"/>
      <c r="E104" s="40"/>
      <c r="F104" s="173"/>
      <c r="G104" s="174"/>
      <c r="H104" s="174"/>
    </row>
    <row r="105" spans="1:8" ht="17.399999999999999" x14ac:dyDescent="0.3">
      <c r="A105" s="191" t="s">
        <v>70</v>
      </c>
      <c r="B105" s="192"/>
      <c r="C105" s="192"/>
      <c r="D105" s="193"/>
      <c r="E105" s="17"/>
      <c r="F105" s="183" t="s">
        <v>62</v>
      </c>
      <c r="G105" s="184"/>
      <c r="H105" s="185"/>
    </row>
    <row r="106" spans="1:8" x14ac:dyDescent="0.3">
      <c r="A106" s="21" t="s">
        <v>21</v>
      </c>
      <c r="B106" s="22" t="s">
        <v>22</v>
      </c>
      <c r="C106" s="22" t="s">
        <v>23</v>
      </c>
      <c r="D106" s="23" t="s">
        <v>25</v>
      </c>
      <c r="E106" s="41"/>
      <c r="F106" s="186"/>
      <c r="G106" s="187"/>
      <c r="H106" s="188"/>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78" t="s">
        <v>63</v>
      </c>
      <c r="B122" s="179"/>
      <c r="C122" s="179"/>
      <c r="D122" s="96">
        <f>SUM(Fence_2[Amount])</f>
        <v>0</v>
      </c>
      <c r="E122" s="34"/>
      <c r="F122" s="173" t="s">
        <v>33</v>
      </c>
      <c r="G122" s="174"/>
      <c r="H122" s="174"/>
    </row>
    <row r="123" spans="1:8" x14ac:dyDescent="0.3">
      <c r="F123" s="173"/>
      <c r="G123" s="174"/>
      <c r="H123" s="174"/>
    </row>
    <row r="124" spans="1:8" ht="17.399999999999999" x14ac:dyDescent="0.3">
      <c r="A124" s="191" t="s">
        <v>26</v>
      </c>
      <c r="B124" s="192"/>
      <c r="C124" s="192"/>
      <c r="D124" s="193"/>
      <c r="E124" s="17"/>
      <c r="F124" s="183" t="s">
        <v>11</v>
      </c>
      <c r="G124" s="184"/>
      <c r="H124" s="185"/>
    </row>
    <row r="125" spans="1:8" x14ac:dyDescent="0.3">
      <c r="A125" s="21" t="s">
        <v>21</v>
      </c>
      <c r="B125" s="22" t="s">
        <v>22</v>
      </c>
      <c r="C125" s="22" t="s">
        <v>23</v>
      </c>
      <c r="D125" s="23" t="s">
        <v>25</v>
      </c>
      <c r="E125" s="41"/>
      <c r="F125" s="186"/>
      <c r="G125" s="187"/>
      <c r="H125" s="188"/>
    </row>
    <row r="126" spans="1:8" x14ac:dyDescent="0.3">
      <c r="A126" s="100"/>
      <c r="B126" s="101"/>
      <c r="C126" s="101"/>
      <c r="D126" s="142">
        <v>23210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78" t="s">
        <v>27</v>
      </c>
      <c r="B141" s="179"/>
      <c r="C141" s="179"/>
      <c r="D141" s="96">
        <f>SUM(Demolition_2[Amount])</f>
        <v>23210</v>
      </c>
      <c r="E141" s="34"/>
      <c r="F141" s="173" t="s">
        <v>33</v>
      </c>
      <c r="G141" s="174"/>
      <c r="H141" s="174"/>
    </row>
    <row r="142" spans="1:8" x14ac:dyDescent="0.3">
      <c r="A142" s="38"/>
      <c r="B142" s="38"/>
      <c r="C142" s="38"/>
      <c r="D142" s="39"/>
      <c r="E142" s="40"/>
      <c r="F142" s="173"/>
      <c r="G142" s="174"/>
      <c r="H142" s="174"/>
    </row>
    <row r="143" spans="1:8" ht="17.399999999999999" x14ac:dyDescent="0.3">
      <c r="A143" s="191" t="s">
        <v>64</v>
      </c>
      <c r="B143" s="192"/>
      <c r="C143" s="192"/>
      <c r="D143" s="193"/>
      <c r="E143" s="17"/>
      <c r="F143" s="183" t="s">
        <v>44</v>
      </c>
      <c r="G143" s="184"/>
      <c r="H143" s="185"/>
    </row>
    <row r="144" spans="1:8" x14ac:dyDescent="0.3">
      <c r="A144" s="21" t="s">
        <v>21</v>
      </c>
      <c r="B144" s="22" t="s">
        <v>22</v>
      </c>
      <c r="C144" s="22" t="s">
        <v>23</v>
      </c>
      <c r="D144" s="23" t="s">
        <v>25</v>
      </c>
      <c r="E144" s="41"/>
      <c r="F144" s="186"/>
      <c r="G144" s="187"/>
      <c r="H144" s="188"/>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78" t="s">
        <v>65</v>
      </c>
      <c r="B160" s="179"/>
      <c r="C160" s="179"/>
      <c r="D160" s="96">
        <f>SUM(Rehab_2[Amount])</f>
        <v>0</v>
      </c>
      <c r="E160" s="34"/>
      <c r="F160" s="173" t="s">
        <v>33</v>
      </c>
      <c r="G160" s="174"/>
      <c r="H160" s="174"/>
    </row>
    <row r="161" spans="6:8" x14ac:dyDescent="0.3">
      <c r="F161" s="173"/>
      <c r="G161" s="174"/>
      <c r="H161" s="174"/>
    </row>
  </sheetData>
  <sheetProtection algorithmName="SHA-512" hashValue="pYJJ6iS07MQdkUs1nxEr1vVojJpsULAYDTw1PF4e7UC5ehDuEefKIMIFF7I9MkiQG0Q370+JN9q5XcZ10rgOMQ==" saltValue="okVXIEekCDZ6zSAGdZCVoA==" spinCount="100000" sheet="1" insertRows="0" deleteRows="0"/>
  <protectedRanges>
    <protectedRange sqref="G160 F145:H159 G141 F126:H140 G122 F107:H121 G103 F88:H102 G84 F69:H83 G65 F50:H64 G46 F31:H45 G27 F12:H26" name="Comments"/>
    <protectedRange sqref="A145:D159" name="Rehab"/>
    <protectedRange sqref="A126:D140" name="Demolition"/>
    <protectedRange sqref="A107:D121" name="Fence"/>
    <protectedRange sqref="A88:D102" name="Boarding"/>
    <protectedRange sqref="A69:D83" name="Garbage"/>
    <protectedRange sqref="A50:D64" name="Pest"/>
    <protectedRange sqref="A31:D45" name="Tree"/>
    <protectedRange sqref="B6" name="Units"/>
    <protectedRange sqref="A12:D26" name="Gras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N161"/>
  <sheetViews>
    <sheetView showGridLines="0" zoomScaleNormal="100" workbookViewId="0">
      <pane ySplit="9" topLeftCell="A115"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5" t="s">
        <v>24</v>
      </c>
      <c r="B1" s="175"/>
      <c r="C1" s="175"/>
      <c r="D1" s="175"/>
      <c r="E1" s="1"/>
      <c r="F1" s="2"/>
      <c r="G1" s="2"/>
      <c r="H1" s="1"/>
    </row>
    <row r="2" spans="1:14" ht="24.9" customHeight="1" x14ac:dyDescent="0.3">
      <c r="A2" s="176" t="s">
        <v>71</v>
      </c>
      <c r="B2" s="176"/>
      <c r="C2" s="176"/>
      <c r="D2" s="176"/>
      <c r="E2" s="4"/>
      <c r="F2" s="97"/>
      <c r="G2" s="97"/>
      <c r="H2" s="5"/>
    </row>
    <row r="3" spans="1:14" ht="31.5" customHeight="1" x14ac:dyDescent="0.3">
      <c r="A3" s="176"/>
      <c r="B3" s="176"/>
      <c r="C3" s="176"/>
      <c r="D3" s="176"/>
      <c r="E3" s="4"/>
      <c r="F3" s="97"/>
      <c r="G3" s="97"/>
      <c r="H3" s="5"/>
    </row>
    <row r="4" spans="1:14" ht="15" customHeight="1" x14ac:dyDescent="0.25">
      <c r="A4" s="75" t="s">
        <v>19</v>
      </c>
      <c r="B4" s="194" t="str">
        <f>IF('Summary Sheet'!B61="","",'Summary Sheet'!B61)</f>
        <v>1454 W 61ST ST</v>
      </c>
      <c r="C4" s="194"/>
      <c r="D4" s="97"/>
      <c r="E4" s="4"/>
      <c r="F4" s="97"/>
      <c r="G4" s="97"/>
      <c r="H4" s="5"/>
    </row>
    <row r="5" spans="1:14" ht="15" customHeight="1" x14ac:dyDescent="0.25">
      <c r="A5" s="75" t="s">
        <v>20</v>
      </c>
      <c r="B5" s="195" t="str">
        <f>IF('Summary Sheet'!C61="","",'Summary Sheet'!C61)</f>
        <v/>
      </c>
      <c r="C5" s="195"/>
      <c r="D5" s="97"/>
      <c r="E5" s="4"/>
      <c r="F5" s="97"/>
      <c r="G5" s="97"/>
      <c r="H5" s="5"/>
    </row>
    <row r="6" spans="1:14" ht="15" customHeight="1" x14ac:dyDescent="0.25">
      <c r="A6" s="75" t="s">
        <v>36</v>
      </c>
      <c r="B6" s="177"/>
      <c r="C6" s="177"/>
      <c r="D6" s="6"/>
      <c r="E6" s="7"/>
    </row>
    <row r="7" spans="1:14" ht="15" customHeight="1" x14ac:dyDescent="0.25">
      <c r="A7" s="7"/>
      <c r="B7" s="196" t="s">
        <v>34</v>
      </c>
      <c r="C7" s="196"/>
      <c r="D7" s="10"/>
    </row>
    <row r="8" spans="1:14" ht="20.100000000000001" customHeight="1" x14ac:dyDescent="0.25">
      <c r="B8" s="11"/>
      <c r="C8" s="11"/>
      <c r="D8" s="12" t="s">
        <v>31</v>
      </c>
      <c r="F8" s="180" t="s">
        <v>32</v>
      </c>
      <c r="G8" s="181"/>
      <c r="H8" s="182"/>
    </row>
    <row r="9" spans="1:14" s="14" customFormat="1" ht="20.100000000000001" customHeight="1" x14ac:dyDescent="0.25">
      <c r="A9" s="197"/>
      <c r="B9" s="197"/>
      <c r="C9" s="197"/>
      <c r="D9" s="13">
        <f>SUM(D27,D46,D65,D84,D103,D122,D141,D160)</f>
        <v>24210</v>
      </c>
      <c r="F9" s="15" t="s">
        <v>28</v>
      </c>
      <c r="G9" s="15" t="s">
        <v>29</v>
      </c>
      <c r="H9" s="15" t="s">
        <v>30</v>
      </c>
      <c r="I9" s="16"/>
      <c r="J9" s="16"/>
      <c r="K9" s="16"/>
      <c r="L9" s="16"/>
      <c r="M9" s="16"/>
      <c r="N9" s="16"/>
    </row>
    <row r="10" spans="1:14" s="17" customFormat="1" ht="23.1" customHeight="1" x14ac:dyDescent="0.3">
      <c r="A10" s="198" t="s">
        <v>51</v>
      </c>
      <c r="B10" s="198"/>
      <c r="C10" s="198"/>
      <c r="D10" s="198"/>
      <c r="F10" s="183" t="s">
        <v>66</v>
      </c>
      <c r="G10" s="184"/>
      <c r="H10" s="185"/>
      <c r="I10" s="18"/>
      <c r="J10" s="18"/>
      <c r="K10" s="18"/>
      <c r="L10" s="18"/>
      <c r="M10" s="19"/>
      <c r="N10" s="20"/>
    </row>
    <row r="11" spans="1:14" s="24" customFormat="1" ht="12.75" customHeight="1" x14ac:dyDescent="0.25">
      <c r="A11" s="21" t="s">
        <v>21</v>
      </c>
      <c r="B11" s="22" t="s">
        <v>22</v>
      </c>
      <c r="C11" s="22" t="s">
        <v>23</v>
      </c>
      <c r="D11" s="23" t="s">
        <v>25</v>
      </c>
      <c r="F11" s="186"/>
      <c r="G11" s="187"/>
      <c r="H11" s="188"/>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78" t="s">
        <v>53</v>
      </c>
      <c r="B27" s="179"/>
      <c r="C27" s="179"/>
      <c r="D27" s="96">
        <f>SUM(Grass_29[Amount])</f>
        <v>0</v>
      </c>
      <c r="F27" s="173" t="s">
        <v>33</v>
      </c>
      <c r="G27" s="174"/>
      <c r="H27" s="174"/>
      <c r="I27" s="35"/>
      <c r="J27" s="35"/>
      <c r="K27" s="35"/>
      <c r="L27" s="35"/>
      <c r="M27" s="36"/>
      <c r="N27" s="37"/>
    </row>
    <row r="28" spans="1:14" s="40" customFormat="1" ht="11.1" customHeight="1" x14ac:dyDescent="0.3">
      <c r="A28" s="38"/>
      <c r="B28" s="38"/>
      <c r="C28" s="38"/>
      <c r="D28" s="39"/>
      <c r="F28" s="173"/>
      <c r="G28" s="174"/>
      <c r="H28" s="174"/>
      <c r="I28" s="35"/>
      <c r="J28" s="35"/>
      <c r="K28" s="35"/>
      <c r="L28" s="35"/>
      <c r="M28" s="36"/>
      <c r="N28" s="37"/>
    </row>
    <row r="29" spans="1:14" s="17" customFormat="1" ht="23.1" customHeight="1" x14ac:dyDescent="0.3">
      <c r="A29" s="191" t="s">
        <v>67</v>
      </c>
      <c r="B29" s="192"/>
      <c r="C29" s="192"/>
      <c r="D29" s="193"/>
      <c r="F29" s="183" t="s">
        <v>52</v>
      </c>
      <c r="G29" s="184"/>
      <c r="H29" s="185"/>
      <c r="I29" s="18"/>
      <c r="J29" s="18"/>
      <c r="K29" s="18"/>
      <c r="L29" s="18"/>
      <c r="M29" s="19"/>
      <c r="N29" s="20"/>
    </row>
    <row r="30" spans="1:14" s="41" customFormat="1" ht="12.75" customHeight="1" x14ac:dyDescent="0.25">
      <c r="A30" s="21" t="s">
        <v>21</v>
      </c>
      <c r="B30" s="22" t="s">
        <v>22</v>
      </c>
      <c r="C30" s="22" t="s">
        <v>23</v>
      </c>
      <c r="D30" s="23" t="s">
        <v>25</v>
      </c>
      <c r="F30" s="186"/>
      <c r="G30" s="187"/>
      <c r="H30" s="188"/>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98"/>
      <c r="J44" s="29"/>
      <c r="K44" s="29"/>
      <c r="L44" s="98"/>
      <c r="M44" s="30"/>
      <c r="N44" s="16"/>
    </row>
    <row r="45" spans="1:14" x14ac:dyDescent="0.3">
      <c r="A45" s="106"/>
      <c r="B45" s="107"/>
      <c r="C45" s="107"/>
      <c r="D45" s="114"/>
      <c r="F45" s="103"/>
      <c r="G45" s="104"/>
      <c r="H45" s="109"/>
      <c r="I45" s="98"/>
      <c r="J45" s="29"/>
      <c r="K45" s="29"/>
      <c r="L45" s="98"/>
      <c r="M45" s="30"/>
      <c r="N45" s="16"/>
    </row>
    <row r="46" spans="1:14" s="34" customFormat="1" x14ac:dyDescent="0.3">
      <c r="A46" s="178" t="s">
        <v>54</v>
      </c>
      <c r="B46" s="179"/>
      <c r="C46" s="179"/>
      <c r="D46" s="96">
        <f>SUM(Tree_29[Amount])</f>
        <v>0</v>
      </c>
      <c r="F46" s="173" t="s">
        <v>33</v>
      </c>
      <c r="G46" s="174"/>
      <c r="H46" s="174"/>
      <c r="I46" s="43"/>
      <c r="J46" s="43"/>
      <c r="K46" s="43"/>
      <c r="L46" s="43"/>
      <c r="M46" s="36"/>
      <c r="N46" s="37"/>
    </row>
    <row r="47" spans="1:14" s="40" customFormat="1" ht="11.1" customHeight="1" x14ac:dyDescent="0.3">
      <c r="A47" s="38"/>
      <c r="B47" s="38"/>
      <c r="C47" s="38"/>
      <c r="D47" s="39"/>
      <c r="F47" s="173"/>
      <c r="G47" s="174"/>
      <c r="H47" s="174"/>
      <c r="I47" s="43"/>
      <c r="J47" s="43"/>
      <c r="K47" s="43"/>
      <c r="L47" s="43"/>
      <c r="M47" s="36"/>
      <c r="N47" s="37"/>
    </row>
    <row r="48" spans="1:14" s="17" customFormat="1" ht="23.1" customHeight="1" x14ac:dyDescent="0.3">
      <c r="A48" s="191" t="s">
        <v>68</v>
      </c>
      <c r="B48" s="192"/>
      <c r="C48" s="192"/>
      <c r="D48" s="193"/>
      <c r="F48" s="183" t="s">
        <v>55</v>
      </c>
      <c r="G48" s="184"/>
      <c r="H48" s="185"/>
      <c r="I48" s="44"/>
      <c r="J48" s="44"/>
      <c r="K48" s="44"/>
      <c r="L48" s="44"/>
      <c r="M48" s="19"/>
      <c r="N48" s="20"/>
    </row>
    <row r="49" spans="1:14" s="41" customFormat="1" ht="12.75" customHeight="1" x14ac:dyDescent="0.25">
      <c r="A49" s="21" t="s">
        <v>21</v>
      </c>
      <c r="B49" s="22" t="s">
        <v>22</v>
      </c>
      <c r="C49" s="22" t="s">
        <v>23</v>
      </c>
      <c r="D49" s="23" t="s">
        <v>25</v>
      </c>
      <c r="F49" s="186"/>
      <c r="G49" s="187"/>
      <c r="H49" s="188"/>
      <c r="I49" s="98"/>
      <c r="J49" s="98"/>
      <c r="K49" s="98"/>
      <c r="L49" s="98"/>
      <c r="M49" s="30"/>
      <c r="N49" s="42"/>
    </row>
    <row r="50" spans="1:14" x14ac:dyDescent="0.3">
      <c r="A50" s="100"/>
      <c r="B50" s="101"/>
      <c r="C50" s="101"/>
      <c r="D50" s="112"/>
      <c r="F50" s="103"/>
      <c r="G50" s="104"/>
      <c r="H50" s="109"/>
      <c r="I50" s="98"/>
      <c r="J50" s="98"/>
      <c r="K50" s="98"/>
      <c r="L50" s="98"/>
      <c r="M50" s="30"/>
      <c r="N50" s="16"/>
    </row>
    <row r="51" spans="1:14" x14ac:dyDescent="0.3">
      <c r="A51" s="106"/>
      <c r="B51" s="107"/>
      <c r="C51" s="107"/>
      <c r="D51" s="113"/>
      <c r="F51" s="103"/>
      <c r="G51" s="104"/>
      <c r="H51" s="109"/>
      <c r="I51" s="98"/>
      <c r="J51" s="98"/>
      <c r="K51" s="98"/>
      <c r="L51" s="98"/>
      <c r="M51" s="30"/>
      <c r="N51" s="16"/>
    </row>
    <row r="52" spans="1:14" x14ac:dyDescent="0.3">
      <c r="A52" s="106"/>
      <c r="B52" s="107"/>
      <c r="C52" s="107"/>
      <c r="D52" s="114"/>
      <c r="F52" s="103"/>
      <c r="H52" s="109"/>
      <c r="I52" s="98"/>
      <c r="J52" s="98"/>
      <c r="K52" s="98"/>
      <c r="L52" s="98"/>
      <c r="M52" s="30"/>
      <c r="N52" s="16"/>
    </row>
    <row r="53" spans="1:14" x14ac:dyDescent="0.3">
      <c r="A53" s="106"/>
      <c r="B53" s="107"/>
      <c r="C53" s="107"/>
      <c r="D53" s="113"/>
      <c r="F53" s="103"/>
      <c r="G53" s="104"/>
      <c r="H53" s="109"/>
      <c r="I53" s="98"/>
      <c r="J53" s="98"/>
      <c r="K53" s="98"/>
      <c r="L53" s="98"/>
      <c r="M53" s="30"/>
      <c r="N53" s="16"/>
    </row>
    <row r="54" spans="1:14" x14ac:dyDescent="0.3">
      <c r="A54" s="106"/>
      <c r="B54" s="107"/>
      <c r="C54" s="107"/>
      <c r="D54" s="114"/>
      <c r="F54" s="103"/>
      <c r="G54" s="104"/>
      <c r="H54" s="109"/>
      <c r="I54" s="98"/>
      <c r="J54" s="98"/>
      <c r="K54" s="98"/>
      <c r="L54" s="98"/>
      <c r="M54" s="30"/>
      <c r="N54" s="16"/>
    </row>
    <row r="55" spans="1:14" x14ac:dyDescent="0.3">
      <c r="A55" s="106"/>
      <c r="B55" s="107"/>
      <c r="C55" s="107"/>
      <c r="D55" s="113"/>
      <c r="F55" s="103"/>
      <c r="G55" s="104"/>
      <c r="H55" s="109"/>
      <c r="I55" s="98"/>
      <c r="J55" s="98"/>
      <c r="K55" s="98"/>
      <c r="L55" s="98"/>
      <c r="M55" s="30"/>
      <c r="N55" s="16"/>
    </row>
    <row r="56" spans="1:14" x14ac:dyDescent="0.3">
      <c r="A56" s="106"/>
      <c r="B56" s="107"/>
      <c r="C56" s="107"/>
      <c r="D56" s="114"/>
      <c r="F56" s="103"/>
      <c r="G56" s="104"/>
      <c r="H56" s="109"/>
      <c r="I56" s="98"/>
      <c r="J56" s="98"/>
      <c r="K56" s="98"/>
      <c r="L56" s="98"/>
      <c r="M56" s="30"/>
      <c r="N56" s="16"/>
    </row>
    <row r="57" spans="1:14" x14ac:dyDescent="0.3">
      <c r="A57" s="106"/>
      <c r="B57" s="107"/>
      <c r="C57" s="107"/>
      <c r="D57" s="113"/>
      <c r="F57" s="103"/>
      <c r="G57" s="104"/>
      <c r="H57" s="109"/>
      <c r="I57" s="98"/>
      <c r="J57" s="98"/>
      <c r="K57" s="98"/>
      <c r="L57" s="98"/>
      <c r="M57" s="30"/>
      <c r="N57" s="16"/>
    </row>
    <row r="58" spans="1:14" x14ac:dyDescent="0.3">
      <c r="A58" s="106"/>
      <c r="B58" s="107"/>
      <c r="C58" s="107"/>
      <c r="D58" s="114"/>
      <c r="F58" s="103"/>
      <c r="G58" s="104"/>
      <c r="H58" s="109"/>
      <c r="I58" s="98"/>
      <c r="J58" s="98"/>
      <c r="K58" s="98"/>
      <c r="L58" s="98"/>
      <c r="M58" s="30"/>
      <c r="N58" s="16"/>
    </row>
    <row r="59" spans="1:14" x14ac:dyDescent="0.3">
      <c r="A59" s="106"/>
      <c r="B59" s="107"/>
      <c r="C59" s="107"/>
      <c r="D59" s="113"/>
      <c r="F59" s="103"/>
      <c r="G59" s="104"/>
      <c r="H59" s="109"/>
      <c r="I59" s="98"/>
      <c r="J59" s="190"/>
      <c r="K59" s="190"/>
      <c r="L59" s="98"/>
      <c r="M59" s="30"/>
      <c r="N59" s="16"/>
    </row>
    <row r="60" spans="1:14" x14ac:dyDescent="0.3">
      <c r="A60" s="106"/>
      <c r="B60" s="107"/>
      <c r="C60" s="107"/>
      <c r="D60" s="114"/>
      <c r="F60" s="103"/>
      <c r="G60" s="104"/>
      <c r="H60" s="109"/>
      <c r="I60" s="189"/>
      <c r="J60" s="189"/>
      <c r="K60" s="189"/>
      <c r="L60" s="189"/>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78" t="s">
        <v>56</v>
      </c>
      <c r="B65" s="179"/>
      <c r="C65" s="179"/>
      <c r="D65" s="96">
        <f>SUM(Pest_29[Amount])</f>
        <v>0</v>
      </c>
      <c r="F65" s="173" t="s">
        <v>33</v>
      </c>
      <c r="G65" s="174"/>
      <c r="H65" s="174"/>
    </row>
    <row r="66" spans="1:8" x14ac:dyDescent="0.3">
      <c r="F66" s="173"/>
      <c r="G66" s="174"/>
      <c r="H66" s="174"/>
    </row>
    <row r="67" spans="1:8" ht="17.399999999999999" x14ac:dyDescent="0.3">
      <c r="A67" s="198" t="s">
        <v>69</v>
      </c>
      <c r="B67" s="198"/>
      <c r="C67" s="198"/>
      <c r="D67" s="198"/>
      <c r="E67" s="17"/>
      <c r="F67" s="183" t="s">
        <v>57</v>
      </c>
      <c r="G67" s="184"/>
      <c r="H67" s="185"/>
    </row>
    <row r="68" spans="1:8" x14ac:dyDescent="0.3">
      <c r="A68" s="21" t="s">
        <v>21</v>
      </c>
      <c r="B68" s="22" t="s">
        <v>22</v>
      </c>
      <c r="C68" s="22" t="s">
        <v>23</v>
      </c>
      <c r="D68" s="23" t="s">
        <v>25</v>
      </c>
      <c r="E68" s="24"/>
      <c r="F68" s="186"/>
      <c r="G68" s="187"/>
      <c r="H68" s="188"/>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78" t="s">
        <v>58</v>
      </c>
      <c r="B84" s="179"/>
      <c r="C84" s="179"/>
      <c r="D84" s="96">
        <f>SUM(Garbage_29[Amount])</f>
        <v>0</v>
      </c>
      <c r="E84" s="34"/>
      <c r="F84" s="173" t="s">
        <v>33</v>
      </c>
      <c r="G84" s="174"/>
      <c r="H84" s="174"/>
    </row>
    <row r="85" spans="1:8" x14ac:dyDescent="0.3">
      <c r="A85" s="38"/>
      <c r="B85" s="38"/>
      <c r="C85" s="38"/>
      <c r="D85" s="39"/>
      <c r="E85" s="40"/>
      <c r="F85" s="173"/>
      <c r="G85" s="174"/>
      <c r="H85" s="174"/>
    </row>
    <row r="86" spans="1:8" ht="17.399999999999999" x14ac:dyDescent="0.3">
      <c r="A86" s="191" t="s">
        <v>59</v>
      </c>
      <c r="B86" s="192"/>
      <c r="C86" s="192"/>
      <c r="D86" s="193"/>
      <c r="E86" s="17"/>
      <c r="F86" s="183" t="s">
        <v>60</v>
      </c>
      <c r="G86" s="184"/>
      <c r="H86" s="185"/>
    </row>
    <row r="87" spans="1:8" x14ac:dyDescent="0.3">
      <c r="A87" s="21" t="s">
        <v>21</v>
      </c>
      <c r="B87" s="22" t="s">
        <v>22</v>
      </c>
      <c r="C87" s="22" t="s">
        <v>23</v>
      </c>
      <c r="D87" s="23" t="s">
        <v>25</v>
      </c>
      <c r="E87" s="41"/>
      <c r="F87" s="186"/>
      <c r="G87" s="187"/>
      <c r="H87" s="188"/>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78" t="s">
        <v>61</v>
      </c>
      <c r="B103" s="179"/>
      <c r="C103" s="179"/>
      <c r="D103" s="96">
        <f>SUM(Boarding_29[Amount])</f>
        <v>0</v>
      </c>
      <c r="E103" s="34"/>
      <c r="F103" s="173" t="s">
        <v>33</v>
      </c>
      <c r="G103" s="174"/>
      <c r="H103" s="174"/>
    </row>
    <row r="104" spans="1:8" x14ac:dyDescent="0.3">
      <c r="A104" s="38"/>
      <c r="B104" s="38"/>
      <c r="C104" s="38"/>
      <c r="D104" s="39"/>
      <c r="E104" s="40"/>
      <c r="F104" s="173"/>
      <c r="G104" s="174"/>
      <c r="H104" s="174"/>
    </row>
    <row r="105" spans="1:8" ht="17.399999999999999" x14ac:dyDescent="0.3">
      <c r="A105" s="191" t="s">
        <v>70</v>
      </c>
      <c r="B105" s="192"/>
      <c r="C105" s="192"/>
      <c r="D105" s="193"/>
      <c r="E105" s="17"/>
      <c r="F105" s="183" t="s">
        <v>62</v>
      </c>
      <c r="G105" s="184"/>
      <c r="H105" s="185"/>
    </row>
    <row r="106" spans="1:8" x14ac:dyDescent="0.3">
      <c r="A106" s="21" t="s">
        <v>21</v>
      </c>
      <c r="B106" s="22" t="s">
        <v>22</v>
      </c>
      <c r="C106" s="22" t="s">
        <v>23</v>
      </c>
      <c r="D106" s="23" t="s">
        <v>25</v>
      </c>
      <c r="E106" s="41"/>
      <c r="F106" s="186"/>
      <c r="G106" s="187"/>
      <c r="H106" s="188"/>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78" t="s">
        <v>63</v>
      </c>
      <c r="B122" s="179"/>
      <c r="C122" s="179"/>
      <c r="D122" s="96">
        <f>SUM(Fence_29[Amount])</f>
        <v>0</v>
      </c>
      <c r="E122" s="34"/>
      <c r="F122" s="173" t="s">
        <v>33</v>
      </c>
      <c r="G122" s="174"/>
      <c r="H122" s="174"/>
    </row>
    <row r="123" spans="1:8" x14ac:dyDescent="0.3">
      <c r="F123" s="173"/>
      <c r="G123" s="174"/>
      <c r="H123" s="174"/>
    </row>
    <row r="124" spans="1:8" ht="17.399999999999999" x14ac:dyDescent="0.3">
      <c r="A124" s="191" t="s">
        <v>26</v>
      </c>
      <c r="B124" s="192"/>
      <c r="C124" s="192"/>
      <c r="D124" s="193"/>
      <c r="E124" s="17"/>
      <c r="F124" s="183" t="s">
        <v>11</v>
      </c>
      <c r="G124" s="184"/>
      <c r="H124" s="185"/>
    </row>
    <row r="125" spans="1:8" x14ac:dyDescent="0.3">
      <c r="A125" s="21" t="s">
        <v>21</v>
      </c>
      <c r="B125" s="22" t="s">
        <v>22</v>
      </c>
      <c r="C125" s="22" t="s">
        <v>23</v>
      </c>
      <c r="D125" s="23" t="s">
        <v>25</v>
      </c>
      <c r="E125" s="41"/>
      <c r="F125" s="186"/>
      <c r="G125" s="187"/>
      <c r="H125" s="188"/>
    </row>
    <row r="126" spans="1:8" x14ac:dyDescent="0.3">
      <c r="A126" s="100"/>
      <c r="B126" s="101"/>
      <c r="C126" s="101"/>
      <c r="D126" s="112">
        <v>24210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78" t="s">
        <v>27</v>
      </c>
      <c r="B141" s="179"/>
      <c r="C141" s="179"/>
      <c r="D141" s="96">
        <f>SUM(Demolition_29[Amount])</f>
        <v>24210</v>
      </c>
      <c r="E141" s="34"/>
      <c r="F141" s="173" t="s">
        <v>33</v>
      </c>
      <c r="G141" s="174"/>
      <c r="H141" s="174"/>
    </row>
    <row r="142" spans="1:8" x14ac:dyDescent="0.3">
      <c r="A142" s="38"/>
      <c r="B142" s="38"/>
      <c r="C142" s="38"/>
      <c r="D142" s="39"/>
      <c r="E142" s="40"/>
      <c r="F142" s="173"/>
      <c r="G142" s="174"/>
      <c r="H142" s="174"/>
    </row>
    <row r="143" spans="1:8" ht="17.399999999999999" x14ac:dyDescent="0.3">
      <c r="A143" s="191" t="s">
        <v>64</v>
      </c>
      <c r="B143" s="192"/>
      <c r="C143" s="192"/>
      <c r="D143" s="193"/>
      <c r="E143" s="17"/>
      <c r="F143" s="183" t="s">
        <v>44</v>
      </c>
      <c r="G143" s="184"/>
      <c r="H143" s="185"/>
    </row>
    <row r="144" spans="1:8" x14ac:dyDescent="0.3">
      <c r="A144" s="21" t="s">
        <v>21</v>
      </c>
      <c r="B144" s="22" t="s">
        <v>22</v>
      </c>
      <c r="C144" s="22" t="s">
        <v>23</v>
      </c>
      <c r="D144" s="23" t="s">
        <v>25</v>
      </c>
      <c r="E144" s="41"/>
      <c r="F144" s="186"/>
      <c r="G144" s="187"/>
      <c r="H144" s="188"/>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78" t="s">
        <v>65</v>
      </c>
      <c r="B160" s="179"/>
      <c r="C160" s="179"/>
      <c r="D160" s="96">
        <f>SUM(Rehab_29[Amount])</f>
        <v>0</v>
      </c>
      <c r="E160" s="34"/>
      <c r="F160" s="173" t="s">
        <v>33</v>
      </c>
      <c r="G160" s="174"/>
      <c r="H160" s="174"/>
    </row>
    <row r="161" spans="6:8" x14ac:dyDescent="0.3">
      <c r="F161" s="173"/>
      <c r="G161" s="174"/>
      <c r="H161" s="174"/>
    </row>
  </sheetData>
  <sheetProtection algorithmName="SHA-512" hashValue="6vEVmR2uLHptHf0GYVHoUYGW2bBMT4n07n3KMP7xQau0BIxZixGFQT9r1n0UyvJ5HBw/Lf83ohe8vOAvQHDflw==" saltValue="4+YzhKnm8CPrQVrt4ZN07g=="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N161"/>
  <sheetViews>
    <sheetView showGridLines="0" zoomScaleNormal="100" workbookViewId="0">
      <pane ySplit="9" topLeftCell="A121"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5" t="s">
        <v>24</v>
      </c>
      <c r="B1" s="175"/>
      <c r="C1" s="175"/>
      <c r="D1" s="175"/>
      <c r="E1" s="1"/>
      <c r="F1" s="2"/>
      <c r="G1" s="2"/>
      <c r="H1" s="1"/>
    </row>
    <row r="2" spans="1:14" ht="24.9" customHeight="1" x14ac:dyDescent="0.3">
      <c r="A2" s="176" t="s">
        <v>71</v>
      </c>
      <c r="B2" s="176"/>
      <c r="C2" s="176"/>
      <c r="D2" s="176"/>
      <c r="E2" s="4"/>
      <c r="F2" s="97"/>
      <c r="G2" s="97"/>
      <c r="H2" s="5"/>
    </row>
    <row r="3" spans="1:14" ht="31.5" customHeight="1" x14ac:dyDescent="0.3">
      <c r="A3" s="176"/>
      <c r="B3" s="176"/>
      <c r="C3" s="176"/>
      <c r="D3" s="176"/>
      <c r="E3" s="4"/>
      <c r="F3" s="97"/>
      <c r="G3" s="97"/>
      <c r="H3" s="5"/>
    </row>
    <row r="4" spans="1:14" ht="15" customHeight="1" x14ac:dyDescent="0.25">
      <c r="A4" s="75" t="s">
        <v>19</v>
      </c>
      <c r="B4" s="194" t="str">
        <f>IF('Summary Sheet'!B62="","",'Summary Sheet'!B62)</f>
        <v>1519 S DRAKE AVE</v>
      </c>
      <c r="C4" s="194"/>
      <c r="D4" s="97"/>
      <c r="E4" s="4"/>
      <c r="F4" s="97"/>
      <c r="G4" s="97"/>
      <c r="H4" s="5"/>
    </row>
    <row r="5" spans="1:14" ht="15" customHeight="1" x14ac:dyDescent="0.25">
      <c r="A5" s="75" t="s">
        <v>20</v>
      </c>
      <c r="B5" s="195" t="str">
        <f>IF('Summary Sheet'!C62="","",'Summary Sheet'!C62)</f>
        <v/>
      </c>
      <c r="C5" s="195"/>
      <c r="D5" s="97"/>
      <c r="E5" s="4"/>
      <c r="F5" s="97"/>
      <c r="G5" s="97"/>
      <c r="H5" s="5"/>
    </row>
    <row r="6" spans="1:14" ht="15" customHeight="1" x14ac:dyDescent="0.25">
      <c r="A6" s="75" t="s">
        <v>36</v>
      </c>
      <c r="B6" s="177"/>
      <c r="C6" s="177"/>
      <c r="D6" s="6"/>
      <c r="E6" s="7"/>
    </row>
    <row r="7" spans="1:14" ht="15" customHeight="1" x14ac:dyDescent="0.25">
      <c r="A7" s="7"/>
      <c r="B7" s="196" t="s">
        <v>34</v>
      </c>
      <c r="C7" s="196"/>
      <c r="D7" s="10"/>
    </row>
    <row r="8" spans="1:14" ht="20.100000000000001" customHeight="1" x14ac:dyDescent="0.25">
      <c r="B8" s="11"/>
      <c r="C8" s="11"/>
      <c r="D8" s="12" t="s">
        <v>31</v>
      </c>
      <c r="F8" s="180" t="s">
        <v>32</v>
      </c>
      <c r="G8" s="181"/>
      <c r="H8" s="182"/>
    </row>
    <row r="9" spans="1:14" s="14" customFormat="1" ht="20.100000000000001" customHeight="1" x14ac:dyDescent="0.25">
      <c r="A9" s="197"/>
      <c r="B9" s="197"/>
      <c r="C9" s="197"/>
      <c r="D9" s="13">
        <f>SUM(D27,D46,D65,D84,D103,D122,D141,D160)</f>
        <v>20210</v>
      </c>
      <c r="F9" s="15" t="s">
        <v>28</v>
      </c>
      <c r="G9" s="15" t="s">
        <v>29</v>
      </c>
      <c r="H9" s="15" t="s">
        <v>30</v>
      </c>
      <c r="I9" s="16"/>
      <c r="J9" s="16"/>
      <c r="K9" s="16"/>
      <c r="L9" s="16"/>
      <c r="M9" s="16"/>
      <c r="N9" s="16"/>
    </row>
    <row r="10" spans="1:14" s="17" customFormat="1" ht="23.1" customHeight="1" x14ac:dyDescent="0.3">
      <c r="A10" s="198" t="s">
        <v>51</v>
      </c>
      <c r="B10" s="198"/>
      <c r="C10" s="198"/>
      <c r="D10" s="198"/>
      <c r="F10" s="183" t="s">
        <v>66</v>
      </c>
      <c r="G10" s="184"/>
      <c r="H10" s="185"/>
      <c r="I10" s="18"/>
      <c r="J10" s="18"/>
      <c r="K10" s="18"/>
      <c r="L10" s="18"/>
      <c r="M10" s="19"/>
      <c r="N10" s="20"/>
    </row>
    <row r="11" spans="1:14" s="24" customFormat="1" ht="12.75" customHeight="1" x14ac:dyDescent="0.25">
      <c r="A11" s="21" t="s">
        <v>21</v>
      </c>
      <c r="B11" s="22" t="s">
        <v>22</v>
      </c>
      <c r="C11" s="22" t="s">
        <v>23</v>
      </c>
      <c r="D11" s="23" t="s">
        <v>25</v>
      </c>
      <c r="F11" s="186"/>
      <c r="G11" s="187"/>
      <c r="H11" s="188"/>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78" t="s">
        <v>53</v>
      </c>
      <c r="B27" s="179"/>
      <c r="C27" s="179"/>
      <c r="D27" s="96">
        <f>SUM(Grass_30[Amount])</f>
        <v>0</v>
      </c>
      <c r="F27" s="173" t="s">
        <v>33</v>
      </c>
      <c r="G27" s="174"/>
      <c r="H27" s="174"/>
      <c r="I27" s="35"/>
      <c r="J27" s="35"/>
      <c r="K27" s="35"/>
      <c r="L27" s="35"/>
      <c r="M27" s="36"/>
      <c r="N27" s="37"/>
    </row>
    <row r="28" spans="1:14" s="40" customFormat="1" ht="11.1" customHeight="1" x14ac:dyDescent="0.3">
      <c r="A28" s="38"/>
      <c r="B28" s="38"/>
      <c r="C28" s="38"/>
      <c r="D28" s="39"/>
      <c r="F28" s="173"/>
      <c r="G28" s="174"/>
      <c r="H28" s="174"/>
      <c r="I28" s="35"/>
      <c r="J28" s="35"/>
      <c r="K28" s="35"/>
      <c r="L28" s="35"/>
      <c r="M28" s="36"/>
      <c r="N28" s="37"/>
    </row>
    <row r="29" spans="1:14" s="17" customFormat="1" ht="23.1" customHeight="1" x14ac:dyDescent="0.3">
      <c r="A29" s="191" t="s">
        <v>67</v>
      </c>
      <c r="B29" s="192"/>
      <c r="C29" s="192"/>
      <c r="D29" s="193"/>
      <c r="F29" s="183" t="s">
        <v>52</v>
      </c>
      <c r="G29" s="184"/>
      <c r="H29" s="185"/>
      <c r="I29" s="18"/>
      <c r="J29" s="18"/>
      <c r="K29" s="18"/>
      <c r="L29" s="18"/>
      <c r="M29" s="19"/>
      <c r="N29" s="20"/>
    </row>
    <row r="30" spans="1:14" s="41" customFormat="1" ht="12.75" customHeight="1" x14ac:dyDescent="0.25">
      <c r="A30" s="21" t="s">
        <v>21</v>
      </c>
      <c r="B30" s="22" t="s">
        <v>22</v>
      </c>
      <c r="C30" s="22" t="s">
        <v>23</v>
      </c>
      <c r="D30" s="23" t="s">
        <v>25</v>
      </c>
      <c r="F30" s="186"/>
      <c r="G30" s="187"/>
      <c r="H30" s="188"/>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98"/>
      <c r="J44" s="29"/>
      <c r="K44" s="29"/>
      <c r="L44" s="98"/>
      <c r="M44" s="30"/>
      <c r="N44" s="16"/>
    </row>
    <row r="45" spans="1:14" x14ac:dyDescent="0.3">
      <c r="A45" s="106"/>
      <c r="B45" s="107"/>
      <c r="C45" s="107"/>
      <c r="D45" s="114"/>
      <c r="F45" s="103"/>
      <c r="G45" s="104"/>
      <c r="H45" s="109"/>
      <c r="I45" s="98"/>
      <c r="J45" s="29"/>
      <c r="K45" s="29"/>
      <c r="L45" s="98"/>
      <c r="M45" s="30"/>
      <c r="N45" s="16"/>
    </row>
    <row r="46" spans="1:14" s="34" customFormat="1" x14ac:dyDescent="0.3">
      <c r="A46" s="178" t="s">
        <v>54</v>
      </c>
      <c r="B46" s="179"/>
      <c r="C46" s="179"/>
      <c r="D46" s="96">
        <f>SUM(Tree_30[Amount])</f>
        <v>0</v>
      </c>
      <c r="F46" s="173" t="s">
        <v>33</v>
      </c>
      <c r="G46" s="174"/>
      <c r="H46" s="174"/>
      <c r="I46" s="43"/>
      <c r="J46" s="43"/>
      <c r="K46" s="43"/>
      <c r="L46" s="43"/>
      <c r="M46" s="36"/>
      <c r="N46" s="37"/>
    </row>
    <row r="47" spans="1:14" s="40" customFormat="1" ht="11.1" customHeight="1" x14ac:dyDescent="0.3">
      <c r="A47" s="38"/>
      <c r="B47" s="38"/>
      <c r="C47" s="38"/>
      <c r="D47" s="39"/>
      <c r="F47" s="173"/>
      <c r="G47" s="174"/>
      <c r="H47" s="174"/>
      <c r="I47" s="43"/>
      <c r="J47" s="43"/>
      <c r="K47" s="43"/>
      <c r="L47" s="43"/>
      <c r="M47" s="36"/>
      <c r="N47" s="37"/>
    </row>
    <row r="48" spans="1:14" s="17" customFormat="1" ht="23.1" customHeight="1" x14ac:dyDescent="0.3">
      <c r="A48" s="191" t="s">
        <v>68</v>
      </c>
      <c r="B48" s="192"/>
      <c r="C48" s="192"/>
      <c r="D48" s="193"/>
      <c r="F48" s="183" t="s">
        <v>55</v>
      </c>
      <c r="G48" s="184"/>
      <c r="H48" s="185"/>
      <c r="I48" s="44"/>
      <c r="J48" s="44"/>
      <c r="K48" s="44"/>
      <c r="L48" s="44"/>
      <c r="M48" s="19"/>
      <c r="N48" s="20"/>
    </row>
    <row r="49" spans="1:14" s="41" customFormat="1" ht="12.75" customHeight="1" x14ac:dyDescent="0.25">
      <c r="A49" s="21" t="s">
        <v>21</v>
      </c>
      <c r="B49" s="22" t="s">
        <v>22</v>
      </c>
      <c r="C49" s="22" t="s">
        <v>23</v>
      </c>
      <c r="D49" s="23" t="s">
        <v>25</v>
      </c>
      <c r="F49" s="186"/>
      <c r="G49" s="187"/>
      <c r="H49" s="188"/>
      <c r="I49" s="98"/>
      <c r="J49" s="98"/>
      <c r="K49" s="98"/>
      <c r="L49" s="98"/>
      <c r="M49" s="30"/>
      <c r="N49" s="42"/>
    </row>
    <row r="50" spans="1:14" x14ac:dyDescent="0.3">
      <c r="A50" s="100"/>
      <c r="B50" s="101"/>
      <c r="C50" s="101"/>
      <c r="D50" s="112"/>
      <c r="F50" s="103"/>
      <c r="G50" s="104"/>
      <c r="H50" s="109"/>
      <c r="I50" s="98"/>
      <c r="J50" s="98"/>
      <c r="K50" s="98"/>
      <c r="L50" s="98"/>
      <c r="M50" s="30"/>
      <c r="N50" s="16"/>
    </row>
    <row r="51" spans="1:14" x14ac:dyDescent="0.3">
      <c r="A51" s="106"/>
      <c r="B51" s="107"/>
      <c r="C51" s="107"/>
      <c r="D51" s="113"/>
      <c r="F51" s="103"/>
      <c r="G51" s="104"/>
      <c r="H51" s="109"/>
      <c r="I51" s="98"/>
      <c r="J51" s="98"/>
      <c r="K51" s="98"/>
      <c r="L51" s="98"/>
      <c r="M51" s="30"/>
      <c r="N51" s="16"/>
    </row>
    <row r="52" spans="1:14" x14ac:dyDescent="0.3">
      <c r="A52" s="106"/>
      <c r="B52" s="107"/>
      <c r="C52" s="107"/>
      <c r="D52" s="114"/>
      <c r="F52" s="103"/>
      <c r="H52" s="109"/>
      <c r="I52" s="98"/>
      <c r="J52" s="98"/>
      <c r="K52" s="98"/>
      <c r="L52" s="98"/>
      <c r="M52" s="30"/>
      <c r="N52" s="16"/>
    </row>
    <row r="53" spans="1:14" x14ac:dyDescent="0.3">
      <c r="A53" s="106"/>
      <c r="B53" s="107"/>
      <c r="C53" s="107"/>
      <c r="D53" s="113"/>
      <c r="F53" s="103"/>
      <c r="G53" s="104"/>
      <c r="H53" s="109"/>
      <c r="I53" s="98"/>
      <c r="J53" s="98"/>
      <c r="K53" s="98"/>
      <c r="L53" s="98"/>
      <c r="M53" s="30"/>
      <c r="N53" s="16"/>
    </row>
    <row r="54" spans="1:14" x14ac:dyDescent="0.3">
      <c r="A54" s="106"/>
      <c r="B54" s="107"/>
      <c r="C54" s="107"/>
      <c r="D54" s="114"/>
      <c r="F54" s="103"/>
      <c r="G54" s="104"/>
      <c r="H54" s="109"/>
      <c r="I54" s="98"/>
      <c r="J54" s="98"/>
      <c r="K54" s="98"/>
      <c r="L54" s="98"/>
      <c r="M54" s="30"/>
      <c r="N54" s="16"/>
    </row>
    <row r="55" spans="1:14" x14ac:dyDescent="0.3">
      <c r="A55" s="106"/>
      <c r="B55" s="107"/>
      <c r="C55" s="107"/>
      <c r="D55" s="113"/>
      <c r="F55" s="103"/>
      <c r="G55" s="104"/>
      <c r="H55" s="109"/>
      <c r="I55" s="98"/>
      <c r="J55" s="98"/>
      <c r="K55" s="98"/>
      <c r="L55" s="98"/>
      <c r="M55" s="30"/>
      <c r="N55" s="16"/>
    </row>
    <row r="56" spans="1:14" x14ac:dyDescent="0.3">
      <c r="A56" s="106"/>
      <c r="B56" s="107"/>
      <c r="C56" s="107"/>
      <c r="D56" s="114"/>
      <c r="F56" s="103"/>
      <c r="G56" s="104"/>
      <c r="H56" s="109"/>
      <c r="I56" s="98"/>
      <c r="J56" s="98"/>
      <c r="K56" s="98"/>
      <c r="L56" s="98"/>
      <c r="M56" s="30"/>
      <c r="N56" s="16"/>
    </row>
    <row r="57" spans="1:14" x14ac:dyDescent="0.3">
      <c r="A57" s="106"/>
      <c r="B57" s="107"/>
      <c r="C57" s="107"/>
      <c r="D57" s="113"/>
      <c r="F57" s="103"/>
      <c r="G57" s="104"/>
      <c r="H57" s="109"/>
      <c r="I57" s="98"/>
      <c r="J57" s="98"/>
      <c r="K57" s="98"/>
      <c r="L57" s="98"/>
      <c r="M57" s="30"/>
      <c r="N57" s="16"/>
    </row>
    <row r="58" spans="1:14" x14ac:dyDescent="0.3">
      <c r="A58" s="106"/>
      <c r="B58" s="107"/>
      <c r="C58" s="107"/>
      <c r="D58" s="114"/>
      <c r="F58" s="103"/>
      <c r="G58" s="104"/>
      <c r="H58" s="109"/>
      <c r="I58" s="98"/>
      <c r="J58" s="98"/>
      <c r="K58" s="98"/>
      <c r="L58" s="98"/>
      <c r="M58" s="30"/>
      <c r="N58" s="16"/>
    </row>
    <row r="59" spans="1:14" x14ac:dyDescent="0.3">
      <c r="A59" s="106"/>
      <c r="B59" s="107"/>
      <c r="C59" s="107"/>
      <c r="D59" s="113"/>
      <c r="F59" s="103"/>
      <c r="G59" s="104"/>
      <c r="H59" s="109"/>
      <c r="I59" s="98"/>
      <c r="J59" s="190"/>
      <c r="K59" s="190"/>
      <c r="L59" s="98"/>
      <c r="M59" s="30"/>
      <c r="N59" s="16"/>
    </row>
    <row r="60" spans="1:14" x14ac:dyDescent="0.3">
      <c r="A60" s="106"/>
      <c r="B60" s="107"/>
      <c r="C60" s="107"/>
      <c r="D60" s="114"/>
      <c r="F60" s="103"/>
      <c r="G60" s="104"/>
      <c r="H60" s="109"/>
      <c r="I60" s="189"/>
      <c r="J60" s="189"/>
      <c r="K60" s="189"/>
      <c r="L60" s="189"/>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78" t="s">
        <v>56</v>
      </c>
      <c r="B65" s="179"/>
      <c r="C65" s="179"/>
      <c r="D65" s="96">
        <f>SUM(Pest_30[Amount])</f>
        <v>0</v>
      </c>
      <c r="F65" s="173" t="s">
        <v>33</v>
      </c>
      <c r="G65" s="174"/>
      <c r="H65" s="174"/>
    </row>
    <row r="66" spans="1:8" x14ac:dyDescent="0.3">
      <c r="F66" s="173"/>
      <c r="G66" s="174"/>
      <c r="H66" s="174"/>
    </row>
    <row r="67" spans="1:8" ht="17.399999999999999" x14ac:dyDescent="0.3">
      <c r="A67" s="198" t="s">
        <v>69</v>
      </c>
      <c r="B67" s="198"/>
      <c r="C67" s="198"/>
      <c r="D67" s="198"/>
      <c r="E67" s="17"/>
      <c r="F67" s="183" t="s">
        <v>57</v>
      </c>
      <c r="G67" s="184"/>
      <c r="H67" s="185"/>
    </row>
    <row r="68" spans="1:8" x14ac:dyDescent="0.3">
      <c r="A68" s="21" t="s">
        <v>21</v>
      </c>
      <c r="B68" s="22" t="s">
        <v>22</v>
      </c>
      <c r="C68" s="22" t="s">
        <v>23</v>
      </c>
      <c r="D68" s="23" t="s">
        <v>25</v>
      </c>
      <c r="E68" s="24"/>
      <c r="F68" s="186"/>
      <c r="G68" s="187"/>
      <c r="H68" s="188"/>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78" t="s">
        <v>58</v>
      </c>
      <c r="B84" s="179"/>
      <c r="C84" s="179"/>
      <c r="D84" s="96">
        <f>SUM(Garbage_30[Amount])</f>
        <v>0</v>
      </c>
      <c r="E84" s="34"/>
      <c r="F84" s="173" t="s">
        <v>33</v>
      </c>
      <c r="G84" s="174"/>
      <c r="H84" s="174"/>
    </row>
    <row r="85" spans="1:8" x14ac:dyDescent="0.3">
      <c r="A85" s="38"/>
      <c r="B85" s="38"/>
      <c r="C85" s="38"/>
      <c r="D85" s="39"/>
      <c r="E85" s="40"/>
      <c r="F85" s="173"/>
      <c r="G85" s="174"/>
      <c r="H85" s="174"/>
    </row>
    <row r="86" spans="1:8" ht="17.399999999999999" x14ac:dyDescent="0.3">
      <c r="A86" s="191" t="s">
        <v>59</v>
      </c>
      <c r="B86" s="192"/>
      <c r="C86" s="192"/>
      <c r="D86" s="193"/>
      <c r="E86" s="17"/>
      <c r="F86" s="183" t="s">
        <v>60</v>
      </c>
      <c r="G86" s="184"/>
      <c r="H86" s="185"/>
    </row>
    <row r="87" spans="1:8" x14ac:dyDescent="0.3">
      <c r="A87" s="21" t="s">
        <v>21</v>
      </c>
      <c r="B87" s="22" t="s">
        <v>22</v>
      </c>
      <c r="C87" s="22" t="s">
        <v>23</v>
      </c>
      <c r="D87" s="23" t="s">
        <v>25</v>
      </c>
      <c r="E87" s="41"/>
      <c r="F87" s="186"/>
      <c r="G87" s="187"/>
      <c r="H87" s="188"/>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78" t="s">
        <v>61</v>
      </c>
      <c r="B103" s="179"/>
      <c r="C103" s="179"/>
      <c r="D103" s="96">
        <f>SUM(Boarding_30[Amount])</f>
        <v>0</v>
      </c>
      <c r="E103" s="34"/>
      <c r="F103" s="173" t="s">
        <v>33</v>
      </c>
      <c r="G103" s="174"/>
      <c r="H103" s="174"/>
    </row>
    <row r="104" spans="1:8" x14ac:dyDescent="0.3">
      <c r="A104" s="38"/>
      <c r="B104" s="38"/>
      <c r="C104" s="38"/>
      <c r="D104" s="39"/>
      <c r="E104" s="40"/>
      <c r="F104" s="173"/>
      <c r="G104" s="174"/>
      <c r="H104" s="174"/>
    </row>
    <row r="105" spans="1:8" ht="17.399999999999999" x14ac:dyDescent="0.3">
      <c r="A105" s="191" t="s">
        <v>70</v>
      </c>
      <c r="B105" s="192"/>
      <c r="C105" s="192"/>
      <c r="D105" s="193"/>
      <c r="E105" s="17"/>
      <c r="F105" s="183" t="s">
        <v>62</v>
      </c>
      <c r="G105" s="184"/>
      <c r="H105" s="185"/>
    </row>
    <row r="106" spans="1:8" x14ac:dyDescent="0.3">
      <c r="A106" s="21" t="s">
        <v>21</v>
      </c>
      <c r="B106" s="22" t="s">
        <v>22</v>
      </c>
      <c r="C106" s="22" t="s">
        <v>23</v>
      </c>
      <c r="D106" s="23" t="s">
        <v>25</v>
      </c>
      <c r="E106" s="41"/>
      <c r="F106" s="186"/>
      <c r="G106" s="187"/>
      <c r="H106" s="188"/>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78" t="s">
        <v>63</v>
      </c>
      <c r="B122" s="179"/>
      <c r="C122" s="179"/>
      <c r="D122" s="96">
        <f>SUM(Fence_30[Amount])</f>
        <v>0</v>
      </c>
      <c r="E122" s="34"/>
      <c r="F122" s="173" t="s">
        <v>33</v>
      </c>
      <c r="G122" s="174"/>
      <c r="H122" s="174"/>
    </row>
    <row r="123" spans="1:8" x14ac:dyDescent="0.3">
      <c r="F123" s="173"/>
      <c r="G123" s="174"/>
      <c r="H123" s="174"/>
    </row>
    <row r="124" spans="1:8" ht="17.399999999999999" x14ac:dyDescent="0.3">
      <c r="A124" s="191" t="s">
        <v>26</v>
      </c>
      <c r="B124" s="192"/>
      <c r="C124" s="192"/>
      <c r="D124" s="193"/>
      <c r="E124" s="17"/>
      <c r="F124" s="183" t="s">
        <v>11</v>
      </c>
      <c r="G124" s="184"/>
      <c r="H124" s="185"/>
    </row>
    <row r="125" spans="1:8" x14ac:dyDescent="0.3">
      <c r="A125" s="21" t="s">
        <v>21</v>
      </c>
      <c r="B125" s="22" t="s">
        <v>22</v>
      </c>
      <c r="C125" s="22" t="s">
        <v>23</v>
      </c>
      <c r="D125" s="23" t="s">
        <v>25</v>
      </c>
      <c r="E125" s="41"/>
      <c r="F125" s="186"/>
      <c r="G125" s="187"/>
      <c r="H125" s="188"/>
    </row>
    <row r="126" spans="1:8" x14ac:dyDescent="0.3">
      <c r="A126" s="100"/>
      <c r="B126" s="101"/>
      <c r="C126" s="101"/>
      <c r="D126" s="112">
        <v>20210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78" t="s">
        <v>27</v>
      </c>
      <c r="B141" s="179"/>
      <c r="C141" s="179"/>
      <c r="D141" s="96">
        <f>SUM(Demolition_30[Amount])</f>
        <v>20210</v>
      </c>
      <c r="E141" s="34"/>
      <c r="F141" s="173" t="s">
        <v>33</v>
      </c>
      <c r="G141" s="174"/>
      <c r="H141" s="174"/>
    </row>
    <row r="142" spans="1:8" x14ac:dyDescent="0.3">
      <c r="A142" s="38"/>
      <c r="B142" s="38"/>
      <c r="C142" s="38"/>
      <c r="D142" s="39"/>
      <c r="E142" s="40"/>
      <c r="F142" s="173"/>
      <c r="G142" s="174"/>
      <c r="H142" s="174"/>
    </row>
    <row r="143" spans="1:8" ht="17.399999999999999" x14ac:dyDescent="0.3">
      <c r="A143" s="191" t="s">
        <v>64</v>
      </c>
      <c r="B143" s="192"/>
      <c r="C143" s="192"/>
      <c r="D143" s="193"/>
      <c r="E143" s="17"/>
      <c r="F143" s="183" t="s">
        <v>44</v>
      </c>
      <c r="G143" s="184"/>
      <c r="H143" s="185"/>
    </row>
    <row r="144" spans="1:8" x14ac:dyDescent="0.3">
      <c r="A144" s="21" t="s">
        <v>21</v>
      </c>
      <c r="B144" s="22" t="s">
        <v>22</v>
      </c>
      <c r="C144" s="22" t="s">
        <v>23</v>
      </c>
      <c r="D144" s="23" t="s">
        <v>25</v>
      </c>
      <c r="E144" s="41"/>
      <c r="F144" s="186"/>
      <c r="G144" s="187"/>
      <c r="H144" s="188"/>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78" t="s">
        <v>65</v>
      </c>
      <c r="B160" s="179"/>
      <c r="C160" s="179"/>
      <c r="D160" s="96">
        <f>SUM(Rehab_30[Amount])</f>
        <v>0</v>
      </c>
      <c r="E160" s="34"/>
      <c r="F160" s="173" t="s">
        <v>33</v>
      </c>
      <c r="G160" s="174"/>
      <c r="H160" s="174"/>
    </row>
    <row r="161" spans="6:8" x14ac:dyDescent="0.3">
      <c r="F161" s="173"/>
      <c r="G161" s="174"/>
      <c r="H161" s="174"/>
    </row>
  </sheetData>
  <sheetProtection algorithmName="SHA-512" hashValue="0VlTnuyBbzuCuqV37enIXNmiWU6AoM6S93KiH5fEZvc+vw62qEgqkCwplafCv40AkzRRprhm03dGhO+fFRhf2w==" saltValue="M76I/+JYuU6l/rPi1pNZkA=="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N161"/>
  <sheetViews>
    <sheetView showGridLines="0" zoomScaleNormal="100" workbookViewId="0">
      <pane ySplit="9" topLeftCell="A118"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5" t="s">
        <v>24</v>
      </c>
      <c r="B1" s="175"/>
      <c r="C1" s="175"/>
      <c r="D1" s="175"/>
      <c r="E1" s="1"/>
      <c r="F1" s="2"/>
      <c r="G1" s="2"/>
      <c r="H1" s="1"/>
    </row>
    <row r="2" spans="1:14" ht="24.9" customHeight="1" x14ac:dyDescent="0.3">
      <c r="A2" s="176" t="s">
        <v>71</v>
      </c>
      <c r="B2" s="176"/>
      <c r="C2" s="176"/>
      <c r="D2" s="176"/>
      <c r="E2" s="4"/>
      <c r="F2" s="120"/>
      <c r="G2" s="120"/>
      <c r="H2" s="5"/>
    </row>
    <row r="3" spans="1:14" ht="31.5" customHeight="1" x14ac:dyDescent="0.3">
      <c r="A3" s="176"/>
      <c r="B3" s="176"/>
      <c r="C3" s="176"/>
      <c r="D3" s="176"/>
      <c r="E3" s="4"/>
      <c r="F3" s="120"/>
      <c r="G3" s="120"/>
      <c r="H3" s="5"/>
    </row>
    <row r="4" spans="1:14" ht="15" customHeight="1" x14ac:dyDescent="0.25">
      <c r="A4" s="75" t="s">
        <v>19</v>
      </c>
      <c r="B4" s="194" t="str">
        <f>IF('Summary Sheet'!B63="","",'Summary Sheet'!B63)</f>
        <v>1524 S SPRINGFIELD AVE</v>
      </c>
      <c r="C4" s="194"/>
      <c r="D4" s="120"/>
      <c r="E4" s="4"/>
      <c r="F4" s="120"/>
      <c r="G4" s="120"/>
      <c r="H4" s="5"/>
    </row>
    <row r="5" spans="1:14" ht="15" customHeight="1" x14ac:dyDescent="0.25">
      <c r="A5" s="75" t="s">
        <v>20</v>
      </c>
      <c r="B5" s="195" t="str">
        <f>IF('Summary Sheet'!C63="","",'Summary Sheet'!C63)</f>
        <v/>
      </c>
      <c r="C5" s="195"/>
      <c r="D5" s="120"/>
      <c r="E5" s="4"/>
      <c r="F5" s="120"/>
      <c r="G5" s="120"/>
      <c r="H5" s="5"/>
    </row>
    <row r="6" spans="1:14" ht="15" customHeight="1" x14ac:dyDescent="0.25">
      <c r="A6" s="75" t="s">
        <v>36</v>
      </c>
      <c r="B6" s="177"/>
      <c r="C6" s="177"/>
      <c r="D6" s="6"/>
      <c r="E6" s="7"/>
    </row>
    <row r="7" spans="1:14" ht="15" customHeight="1" x14ac:dyDescent="0.25">
      <c r="A7" s="7"/>
      <c r="B7" s="196" t="s">
        <v>34</v>
      </c>
      <c r="C7" s="196"/>
      <c r="D7" s="10"/>
    </row>
    <row r="8" spans="1:14" ht="20.100000000000001" customHeight="1" x14ac:dyDescent="0.25">
      <c r="B8" s="11"/>
      <c r="C8" s="11"/>
      <c r="D8" s="12" t="s">
        <v>31</v>
      </c>
      <c r="F8" s="180" t="s">
        <v>32</v>
      </c>
      <c r="G8" s="181"/>
      <c r="H8" s="182"/>
    </row>
    <row r="9" spans="1:14" s="14" customFormat="1" ht="20.100000000000001" customHeight="1" x14ac:dyDescent="0.25">
      <c r="A9" s="197"/>
      <c r="B9" s="197"/>
      <c r="C9" s="197"/>
      <c r="D9" s="13">
        <f>SUM(D27,D46,D65,D84,D103,D122,D141,D160)</f>
        <v>19210</v>
      </c>
      <c r="F9" s="15" t="s">
        <v>28</v>
      </c>
      <c r="G9" s="15" t="s">
        <v>29</v>
      </c>
      <c r="H9" s="15" t="s">
        <v>30</v>
      </c>
      <c r="I9" s="16"/>
      <c r="J9" s="16"/>
      <c r="K9" s="16"/>
      <c r="L9" s="16"/>
      <c r="M9" s="16"/>
      <c r="N9" s="16"/>
    </row>
    <row r="10" spans="1:14" s="17" customFormat="1" ht="23.1" customHeight="1" x14ac:dyDescent="0.3">
      <c r="A10" s="198" t="s">
        <v>51</v>
      </c>
      <c r="B10" s="198"/>
      <c r="C10" s="198"/>
      <c r="D10" s="198"/>
      <c r="F10" s="183" t="s">
        <v>66</v>
      </c>
      <c r="G10" s="184"/>
      <c r="H10" s="185"/>
      <c r="I10" s="18"/>
      <c r="J10" s="18"/>
      <c r="K10" s="18"/>
      <c r="L10" s="18"/>
      <c r="M10" s="19"/>
      <c r="N10" s="20"/>
    </row>
    <row r="11" spans="1:14" s="24" customFormat="1" ht="12.75" customHeight="1" x14ac:dyDescent="0.25">
      <c r="A11" s="21" t="s">
        <v>21</v>
      </c>
      <c r="B11" s="22" t="s">
        <v>22</v>
      </c>
      <c r="C11" s="22" t="s">
        <v>23</v>
      </c>
      <c r="D11" s="23" t="s">
        <v>25</v>
      </c>
      <c r="F11" s="186"/>
      <c r="G11" s="187"/>
      <c r="H11" s="188"/>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78" t="s">
        <v>53</v>
      </c>
      <c r="B27" s="179"/>
      <c r="C27" s="179"/>
      <c r="D27" s="96">
        <f>SUM(Grass_31[Amount])</f>
        <v>0</v>
      </c>
      <c r="F27" s="173" t="s">
        <v>33</v>
      </c>
      <c r="G27" s="174"/>
      <c r="H27" s="174"/>
      <c r="I27" s="35"/>
      <c r="J27" s="35"/>
      <c r="K27" s="35"/>
      <c r="L27" s="35"/>
      <c r="M27" s="36"/>
      <c r="N27" s="37"/>
    </row>
    <row r="28" spans="1:14" s="40" customFormat="1" ht="11.1" customHeight="1" x14ac:dyDescent="0.3">
      <c r="A28" s="38"/>
      <c r="B28" s="38"/>
      <c r="C28" s="38"/>
      <c r="D28" s="39"/>
      <c r="F28" s="173"/>
      <c r="G28" s="174"/>
      <c r="H28" s="174"/>
      <c r="I28" s="35"/>
      <c r="J28" s="35"/>
      <c r="K28" s="35"/>
      <c r="L28" s="35"/>
      <c r="M28" s="36"/>
      <c r="N28" s="37"/>
    </row>
    <row r="29" spans="1:14" s="17" customFormat="1" ht="23.1" customHeight="1" x14ac:dyDescent="0.3">
      <c r="A29" s="191" t="s">
        <v>67</v>
      </c>
      <c r="B29" s="192"/>
      <c r="C29" s="192"/>
      <c r="D29" s="193"/>
      <c r="F29" s="183" t="s">
        <v>52</v>
      </c>
      <c r="G29" s="184"/>
      <c r="H29" s="185"/>
      <c r="I29" s="18"/>
      <c r="J29" s="18"/>
      <c r="K29" s="18"/>
      <c r="L29" s="18"/>
      <c r="M29" s="19"/>
      <c r="N29" s="20"/>
    </row>
    <row r="30" spans="1:14" s="41" customFormat="1" ht="12.75" customHeight="1" x14ac:dyDescent="0.25">
      <c r="A30" s="21" t="s">
        <v>21</v>
      </c>
      <c r="B30" s="22" t="s">
        <v>22</v>
      </c>
      <c r="C30" s="22" t="s">
        <v>23</v>
      </c>
      <c r="D30" s="23" t="s">
        <v>25</v>
      </c>
      <c r="F30" s="186"/>
      <c r="G30" s="187"/>
      <c r="H30" s="188"/>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19"/>
      <c r="J44" s="29"/>
      <c r="K44" s="29"/>
      <c r="L44" s="119"/>
      <c r="M44" s="30"/>
      <c r="N44" s="16"/>
    </row>
    <row r="45" spans="1:14" x14ac:dyDescent="0.3">
      <c r="A45" s="106"/>
      <c r="B45" s="107"/>
      <c r="C45" s="107"/>
      <c r="D45" s="114"/>
      <c r="F45" s="103"/>
      <c r="G45" s="104"/>
      <c r="H45" s="109"/>
      <c r="I45" s="119"/>
      <c r="J45" s="29"/>
      <c r="K45" s="29"/>
      <c r="L45" s="119"/>
      <c r="M45" s="30"/>
      <c r="N45" s="16"/>
    </row>
    <row r="46" spans="1:14" s="34" customFormat="1" x14ac:dyDescent="0.3">
      <c r="A46" s="178" t="s">
        <v>54</v>
      </c>
      <c r="B46" s="179"/>
      <c r="C46" s="179"/>
      <c r="D46" s="96">
        <f>SUM(Tree_31[Amount])</f>
        <v>0</v>
      </c>
      <c r="F46" s="173" t="s">
        <v>33</v>
      </c>
      <c r="G46" s="174"/>
      <c r="H46" s="174"/>
      <c r="I46" s="43"/>
      <c r="J46" s="43"/>
      <c r="K46" s="43"/>
      <c r="L46" s="43"/>
      <c r="M46" s="36"/>
      <c r="N46" s="37"/>
    </row>
    <row r="47" spans="1:14" s="40" customFormat="1" ht="11.1" customHeight="1" x14ac:dyDescent="0.3">
      <c r="A47" s="38"/>
      <c r="B47" s="38"/>
      <c r="C47" s="38"/>
      <c r="D47" s="39"/>
      <c r="F47" s="173"/>
      <c r="G47" s="174"/>
      <c r="H47" s="174"/>
      <c r="I47" s="43"/>
      <c r="J47" s="43"/>
      <c r="K47" s="43"/>
      <c r="L47" s="43"/>
      <c r="M47" s="36"/>
      <c r="N47" s="37"/>
    </row>
    <row r="48" spans="1:14" s="17" customFormat="1" ht="23.1" customHeight="1" x14ac:dyDescent="0.3">
      <c r="A48" s="191" t="s">
        <v>68</v>
      </c>
      <c r="B48" s="192"/>
      <c r="C48" s="192"/>
      <c r="D48" s="193"/>
      <c r="F48" s="183" t="s">
        <v>55</v>
      </c>
      <c r="G48" s="184"/>
      <c r="H48" s="185"/>
      <c r="I48" s="44"/>
      <c r="J48" s="44"/>
      <c r="K48" s="44"/>
      <c r="L48" s="44"/>
      <c r="M48" s="19"/>
      <c r="N48" s="20"/>
    </row>
    <row r="49" spans="1:14" s="41" customFormat="1" ht="12.75" customHeight="1" x14ac:dyDescent="0.25">
      <c r="A49" s="21" t="s">
        <v>21</v>
      </c>
      <c r="B49" s="22" t="s">
        <v>22</v>
      </c>
      <c r="C49" s="22" t="s">
        <v>23</v>
      </c>
      <c r="D49" s="23" t="s">
        <v>25</v>
      </c>
      <c r="F49" s="186"/>
      <c r="G49" s="187"/>
      <c r="H49" s="188"/>
      <c r="I49" s="119"/>
      <c r="J49" s="119"/>
      <c r="K49" s="119"/>
      <c r="L49" s="119"/>
      <c r="M49" s="30"/>
      <c r="N49" s="42"/>
    </row>
    <row r="50" spans="1:14" x14ac:dyDescent="0.3">
      <c r="A50" s="100"/>
      <c r="B50" s="101"/>
      <c r="C50" s="101"/>
      <c r="D50" s="112"/>
      <c r="F50" s="103"/>
      <c r="G50" s="104"/>
      <c r="H50" s="109"/>
      <c r="I50" s="119"/>
      <c r="J50" s="119"/>
      <c r="K50" s="119"/>
      <c r="L50" s="119"/>
      <c r="M50" s="30"/>
      <c r="N50" s="16"/>
    </row>
    <row r="51" spans="1:14" x14ac:dyDescent="0.3">
      <c r="A51" s="106"/>
      <c r="B51" s="107"/>
      <c r="C51" s="107"/>
      <c r="D51" s="113"/>
      <c r="F51" s="103"/>
      <c r="G51" s="104"/>
      <c r="H51" s="109"/>
      <c r="I51" s="119"/>
      <c r="J51" s="119"/>
      <c r="K51" s="119"/>
      <c r="L51" s="119"/>
      <c r="M51" s="30"/>
      <c r="N51" s="16"/>
    </row>
    <row r="52" spans="1:14" x14ac:dyDescent="0.3">
      <c r="A52" s="106"/>
      <c r="B52" s="107"/>
      <c r="C52" s="107"/>
      <c r="D52" s="114"/>
      <c r="F52" s="103"/>
      <c r="H52" s="109"/>
      <c r="I52" s="119"/>
      <c r="J52" s="119"/>
      <c r="K52" s="119"/>
      <c r="L52" s="119"/>
      <c r="M52" s="30"/>
      <c r="N52" s="16"/>
    </row>
    <row r="53" spans="1:14" x14ac:dyDescent="0.3">
      <c r="A53" s="106"/>
      <c r="B53" s="107"/>
      <c r="C53" s="107"/>
      <c r="D53" s="113"/>
      <c r="F53" s="103"/>
      <c r="G53" s="104"/>
      <c r="H53" s="109"/>
      <c r="I53" s="119"/>
      <c r="J53" s="119"/>
      <c r="K53" s="119"/>
      <c r="L53" s="119"/>
      <c r="M53" s="30"/>
      <c r="N53" s="16"/>
    </row>
    <row r="54" spans="1:14" x14ac:dyDescent="0.3">
      <c r="A54" s="106"/>
      <c r="B54" s="107"/>
      <c r="C54" s="107"/>
      <c r="D54" s="114"/>
      <c r="F54" s="103"/>
      <c r="G54" s="104"/>
      <c r="H54" s="109"/>
      <c r="I54" s="119"/>
      <c r="J54" s="119"/>
      <c r="K54" s="119"/>
      <c r="L54" s="119"/>
      <c r="M54" s="30"/>
      <c r="N54" s="16"/>
    </row>
    <row r="55" spans="1:14" x14ac:dyDescent="0.3">
      <c r="A55" s="106"/>
      <c r="B55" s="107"/>
      <c r="C55" s="107"/>
      <c r="D55" s="113"/>
      <c r="F55" s="103"/>
      <c r="G55" s="104"/>
      <c r="H55" s="109"/>
      <c r="I55" s="119"/>
      <c r="J55" s="119"/>
      <c r="K55" s="119"/>
      <c r="L55" s="119"/>
      <c r="M55" s="30"/>
      <c r="N55" s="16"/>
    </row>
    <row r="56" spans="1:14" x14ac:dyDescent="0.3">
      <c r="A56" s="106"/>
      <c r="B56" s="107"/>
      <c r="C56" s="107"/>
      <c r="D56" s="114"/>
      <c r="F56" s="103"/>
      <c r="G56" s="104"/>
      <c r="H56" s="109"/>
      <c r="I56" s="119"/>
      <c r="J56" s="119"/>
      <c r="K56" s="119"/>
      <c r="L56" s="119"/>
      <c r="M56" s="30"/>
      <c r="N56" s="16"/>
    </row>
    <row r="57" spans="1:14" x14ac:dyDescent="0.3">
      <c r="A57" s="106"/>
      <c r="B57" s="107"/>
      <c r="C57" s="107"/>
      <c r="D57" s="113"/>
      <c r="F57" s="103"/>
      <c r="G57" s="104"/>
      <c r="H57" s="109"/>
      <c r="I57" s="119"/>
      <c r="J57" s="119"/>
      <c r="K57" s="119"/>
      <c r="L57" s="119"/>
      <c r="M57" s="30"/>
      <c r="N57" s="16"/>
    </row>
    <row r="58" spans="1:14" x14ac:dyDescent="0.3">
      <c r="A58" s="106"/>
      <c r="B58" s="107"/>
      <c r="C58" s="107"/>
      <c r="D58" s="114"/>
      <c r="F58" s="103"/>
      <c r="G58" s="104"/>
      <c r="H58" s="109"/>
      <c r="I58" s="119"/>
      <c r="J58" s="119"/>
      <c r="K58" s="119"/>
      <c r="L58" s="119"/>
      <c r="M58" s="30"/>
      <c r="N58" s="16"/>
    </row>
    <row r="59" spans="1:14" x14ac:dyDescent="0.3">
      <c r="A59" s="106"/>
      <c r="B59" s="107"/>
      <c r="C59" s="107"/>
      <c r="D59" s="113"/>
      <c r="F59" s="103"/>
      <c r="G59" s="104"/>
      <c r="H59" s="109"/>
      <c r="I59" s="119"/>
      <c r="J59" s="190"/>
      <c r="K59" s="190"/>
      <c r="L59" s="119"/>
      <c r="M59" s="30"/>
      <c r="N59" s="16"/>
    </row>
    <row r="60" spans="1:14" x14ac:dyDescent="0.3">
      <c r="A60" s="106"/>
      <c r="B60" s="107"/>
      <c r="C60" s="107"/>
      <c r="D60" s="114"/>
      <c r="F60" s="103"/>
      <c r="G60" s="104"/>
      <c r="H60" s="109"/>
      <c r="I60" s="189"/>
      <c r="J60" s="189"/>
      <c r="K60" s="189"/>
      <c r="L60" s="189"/>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78" t="s">
        <v>56</v>
      </c>
      <c r="B65" s="179"/>
      <c r="C65" s="179"/>
      <c r="D65" s="96">
        <f>SUM(Pest_31[Amount])</f>
        <v>0</v>
      </c>
      <c r="F65" s="173" t="s">
        <v>33</v>
      </c>
      <c r="G65" s="174"/>
      <c r="H65" s="174"/>
    </row>
    <row r="66" spans="1:8" x14ac:dyDescent="0.3">
      <c r="F66" s="173"/>
      <c r="G66" s="174"/>
      <c r="H66" s="174"/>
    </row>
    <row r="67" spans="1:8" ht="17.399999999999999" x14ac:dyDescent="0.3">
      <c r="A67" s="198" t="s">
        <v>69</v>
      </c>
      <c r="B67" s="198"/>
      <c r="C67" s="198"/>
      <c r="D67" s="198"/>
      <c r="E67" s="17"/>
      <c r="F67" s="183" t="s">
        <v>57</v>
      </c>
      <c r="G67" s="184"/>
      <c r="H67" s="185"/>
    </row>
    <row r="68" spans="1:8" x14ac:dyDescent="0.3">
      <c r="A68" s="21" t="s">
        <v>21</v>
      </c>
      <c r="B68" s="22" t="s">
        <v>22</v>
      </c>
      <c r="C68" s="22" t="s">
        <v>23</v>
      </c>
      <c r="D68" s="23" t="s">
        <v>25</v>
      </c>
      <c r="E68" s="24"/>
      <c r="F68" s="186"/>
      <c r="G68" s="187"/>
      <c r="H68" s="188"/>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78" t="s">
        <v>58</v>
      </c>
      <c r="B84" s="179"/>
      <c r="C84" s="179"/>
      <c r="D84" s="96">
        <f>SUM(Garbage_31[Amount])</f>
        <v>0</v>
      </c>
      <c r="E84" s="34"/>
      <c r="F84" s="173" t="s">
        <v>33</v>
      </c>
      <c r="G84" s="174"/>
      <c r="H84" s="174"/>
    </row>
    <row r="85" spans="1:8" x14ac:dyDescent="0.3">
      <c r="A85" s="38"/>
      <c r="B85" s="38"/>
      <c r="C85" s="38"/>
      <c r="D85" s="39"/>
      <c r="E85" s="40"/>
      <c r="F85" s="173"/>
      <c r="G85" s="174"/>
      <c r="H85" s="174"/>
    </row>
    <row r="86" spans="1:8" ht="17.399999999999999" x14ac:dyDescent="0.3">
      <c r="A86" s="191" t="s">
        <v>59</v>
      </c>
      <c r="B86" s="192"/>
      <c r="C86" s="192"/>
      <c r="D86" s="193"/>
      <c r="E86" s="17"/>
      <c r="F86" s="183" t="s">
        <v>60</v>
      </c>
      <c r="G86" s="184"/>
      <c r="H86" s="185"/>
    </row>
    <row r="87" spans="1:8" x14ac:dyDescent="0.3">
      <c r="A87" s="21" t="s">
        <v>21</v>
      </c>
      <c r="B87" s="22" t="s">
        <v>22</v>
      </c>
      <c r="C87" s="22" t="s">
        <v>23</v>
      </c>
      <c r="D87" s="23" t="s">
        <v>25</v>
      </c>
      <c r="E87" s="41"/>
      <c r="F87" s="186"/>
      <c r="G87" s="187"/>
      <c r="H87" s="188"/>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78" t="s">
        <v>61</v>
      </c>
      <c r="B103" s="179"/>
      <c r="C103" s="179"/>
      <c r="D103" s="96">
        <f>SUM(Boarding_31[Amount])</f>
        <v>0</v>
      </c>
      <c r="E103" s="34"/>
      <c r="F103" s="173" t="s">
        <v>33</v>
      </c>
      <c r="G103" s="174"/>
      <c r="H103" s="174"/>
    </row>
    <row r="104" spans="1:8" x14ac:dyDescent="0.3">
      <c r="A104" s="38"/>
      <c r="B104" s="38"/>
      <c r="C104" s="38"/>
      <c r="D104" s="39"/>
      <c r="E104" s="40"/>
      <c r="F104" s="173"/>
      <c r="G104" s="174"/>
      <c r="H104" s="174"/>
    </row>
    <row r="105" spans="1:8" ht="17.399999999999999" x14ac:dyDescent="0.3">
      <c r="A105" s="191" t="s">
        <v>70</v>
      </c>
      <c r="B105" s="192"/>
      <c r="C105" s="192"/>
      <c r="D105" s="193"/>
      <c r="E105" s="17"/>
      <c r="F105" s="183" t="s">
        <v>62</v>
      </c>
      <c r="G105" s="184"/>
      <c r="H105" s="185"/>
    </row>
    <row r="106" spans="1:8" x14ac:dyDescent="0.3">
      <c r="A106" s="21" t="s">
        <v>21</v>
      </c>
      <c r="B106" s="22" t="s">
        <v>22</v>
      </c>
      <c r="C106" s="22" t="s">
        <v>23</v>
      </c>
      <c r="D106" s="23" t="s">
        <v>25</v>
      </c>
      <c r="E106" s="41"/>
      <c r="F106" s="186"/>
      <c r="G106" s="187"/>
      <c r="H106" s="188"/>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78" t="s">
        <v>63</v>
      </c>
      <c r="B122" s="179"/>
      <c r="C122" s="179"/>
      <c r="D122" s="96">
        <f>SUM(Fence_31[Amount])</f>
        <v>0</v>
      </c>
      <c r="E122" s="34"/>
      <c r="F122" s="173" t="s">
        <v>33</v>
      </c>
      <c r="G122" s="174"/>
      <c r="H122" s="174"/>
    </row>
    <row r="123" spans="1:8" x14ac:dyDescent="0.3">
      <c r="F123" s="173"/>
      <c r="G123" s="174"/>
      <c r="H123" s="174"/>
    </row>
    <row r="124" spans="1:8" ht="17.399999999999999" x14ac:dyDescent="0.3">
      <c r="A124" s="191" t="s">
        <v>26</v>
      </c>
      <c r="B124" s="192"/>
      <c r="C124" s="192"/>
      <c r="D124" s="193"/>
      <c r="E124" s="17"/>
      <c r="F124" s="183" t="s">
        <v>11</v>
      </c>
      <c r="G124" s="184"/>
      <c r="H124" s="185"/>
    </row>
    <row r="125" spans="1:8" x14ac:dyDescent="0.3">
      <c r="A125" s="21" t="s">
        <v>21</v>
      </c>
      <c r="B125" s="22" t="s">
        <v>22</v>
      </c>
      <c r="C125" s="22" t="s">
        <v>23</v>
      </c>
      <c r="D125" s="23" t="s">
        <v>25</v>
      </c>
      <c r="E125" s="41"/>
      <c r="F125" s="186"/>
      <c r="G125" s="187"/>
      <c r="H125" s="188"/>
    </row>
    <row r="126" spans="1:8" x14ac:dyDescent="0.3">
      <c r="A126" s="100"/>
      <c r="B126" s="101"/>
      <c r="C126" s="101"/>
      <c r="D126" s="112">
        <v>19210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78" t="s">
        <v>27</v>
      </c>
      <c r="B141" s="179"/>
      <c r="C141" s="179"/>
      <c r="D141" s="96">
        <f>SUM(Demolition_31[Amount])</f>
        <v>19210</v>
      </c>
      <c r="E141" s="34"/>
      <c r="F141" s="173" t="s">
        <v>33</v>
      </c>
      <c r="G141" s="174"/>
      <c r="H141" s="174"/>
    </row>
    <row r="142" spans="1:8" x14ac:dyDescent="0.3">
      <c r="A142" s="38"/>
      <c r="B142" s="38"/>
      <c r="C142" s="38"/>
      <c r="D142" s="39"/>
      <c r="E142" s="40"/>
      <c r="F142" s="173"/>
      <c r="G142" s="174"/>
      <c r="H142" s="174"/>
    </row>
    <row r="143" spans="1:8" ht="17.399999999999999" x14ac:dyDescent="0.3">
      <c r="A143" s="191" t="s">
        <v>64</v>
      </c>
      <c r="B143" s="192"/>
      <c r="C143" s="192"/>
      <c r="D143" s="193"/>
      <c r="E143" s="17"/>
      <c r="F143" s="183" t="s">
        <v>44</v>
      </c>
      <c r="G143" s="184"/>
      <c r="H143" s="185"/>
    </row>
    <row r="144" spans="1:8" x14ac:dyDescent="0.3">
      <c r="A144" s="21" t="s">
        <v>21</v>
      </c>
      <c r="B144" s="22" t="s">
        <v>22</v>
      </c>
      <c r="C144" s="22" t="s">
        <v>23</v>
      </c>
      <c r="D144" s="23" t="s">
        <v>25</v>
      </c>
      <c r="E144" s="41"/>
      <c r="F144" s="186"/>
      <c r="G144" s="187"/>
      <c r="H144" s="188"/>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78" t="s">
        <v>65</v>
      </c>
      <c r="B160" s="179"/>
      <c r="C160" s="179"/>
      <c r="D160" s="96">
        <f>SUM(Rehab_31[Amount])</f>
        <v>0</v>
      </c>
      <c r="E160" s="34"/>
      <c r="F160" s="173" t="s">
        <v>33</v>
      </c>
      <c r="G160" s="174"/>
      <c r="H160" s="174"/>
    </row>
    <row r="161" spans="6:8" x14ac:dyDescent="0.3">
      <c r="F161" s="173"/>
      <c r="G161" s="174"/>
      <c r="H161" s="174"/>
    </row>
  </sheetData>
  <sheetProtection algorithmName="SHA-512" hashValue="QRZAG9WmPB+DeG5WCLvrBVUhTe+lQ2bpgzTntsbjAl7sOUcqkvLV9UUKbGOlHmATmE30Lxa2MD0h62PE2K4WOA==" saltValue="PKmn18x3Mr4BZkC5WskMrQ=="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N161"/>
  <sheetViews>
    <sheetView showGridLines="0" zoomScaleNormal="100" workbookViewId="0">
      <pane ySplit="9" topLeftCell="A118"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5" t="s">
        <v>24</v>
      </c>
      <c r="B1" s="175"/>
      <c r="C1" s="175"/>
      <c r="D1" s="175"/>
      <c r="E1" s="1"/>
      <c r="F1" s="2"/>
      <c r="G1" s="2"/>
      <c r="H1" s="1"/>
    </row>
    <row r="2" spans="1:14" ht="24.9" customHeight="1" x14ac:dyDescent="0.3">
      <c r="A2" s="176" t="s">
        <v>71</v>
      </c>
      <c r="B2" s="176"/>
      <c r="C2" s="176"/>
      <c r="D2" s="176"/>
      <c r="E2" s="4"/>
      <c r="F2" s="120"/>
      <c r="G2" s="120"/>
      <c r="H2" s="5"/>
    </row>
    <row r="3" spans="1:14" ht="31.5" customHeight="1" x14ac:dyDescent="0.3">
      <c r="A3" s="176"/>
      <c r="B3" s="176"/>
      <c r="C3" s="176"/>
      <c r="D3" s="176"/>
      <c r="E3" s="4"/>
      <c r="F3" s="120"/>
      <c r="G3" s="120"/>
      <c r="H3" s="5"/>
    </row>
    <row r="4" spans="1:14" ht="15" customHeight="1" x14ac:dyDescent="0.25">
      <c r="A4" s="75" t="s">
        <v>19</v>
      </c>
      <c r="B4" s="194" t="str">
        <f>IF('Summary Sheet'!B64="","",'Summary Sheet'!B64)</f>
        <v>1524 W 79TH ST</v>
      </c>
      <c r="C4" s="194"/>
      <c r="D4" s="120"/>
      <c r="E4" s="4"/>
      <c r="F4" s="120"/>
      <c r="G4" s="120"/>
      <c r="H4" s="5"/>
    </row>
    <row r="5" spans="1:14" ht="15" customHeight="1" x14ac:dyDescent="0.25">
      <c r="A5" s="75" t="s">
        <v>20</v>
      </c>
      <c r="B5" s="195" t="str">
        <f>IF('Summary Sheet'!C64="","",'Summary Sheet'!C64)</f>
        <v/>
      </c>
      <c r="C5" s="195"/>
      <c r="D5" s="120"/>
      <c r="E5" s="4"/>
      <c r="F5" s="120"/>
      <c r="G5" s="120"/>
      <c r="H5" s="5"/>
    </row>
    <row r="6" spans="1:14" ht="15" customHeight="1" x14ac:dyDescent="0.25">
      <c r="A6" s="75" t="s">
        <v>36</v>
      </c>
      <c r="B6" s="177"/>
      <c r="C6" s="177"/>
      <c r="D6" s="6"/>
      <c r="E6" s="7"/>
    </row>
    <row r="7" spans="1:14" ht="15" customHeight="1" x14ac:dyDescent="0.25">
      <c r="A7" s="7"/>
      <c r="B7" s="196" t="s">
        <v>34</v>
      </c>
      <c r="C7" s="196"/>
      <c r="D7" s="10"/>
    </row>
    <row r="8" spans="1:14" ht="20.100000000000001" customHeight="1" x14ac:dyDescent="0.25">
      <c r="B8" s="11"/>
      <c r="C8" s="11"/>
      <c r="D8" s="12" t="s">
        <v>31</v>
      </c>
      <c r="F8" s="180" t="s">
        <v>32</v>
      </c>
      <c r="G8" s="181"/>
      <c r="H8" s="182"/>
    </row>
    <row r="9" spans="1:14" s="14" customFormat="1" ht="20.100000000000001" customHeight="1" x14ac:dyDescent="0.25">
      <c r="A9" s="197"/>
      <c r="B9" s="197"/>
      <c r="C9" s="197"/>
      <c r="D9" s="13">
        <f>SUM(D27,D46,D65,D84,D103,D122,D141,D160)</f>
        <v>20310</v>
      </c>
      <c r="F9" s="15" t="s">
        <v>28</v>
      </c>
      <c r="G9" s="15" t="s">
        <v>29</v>
      </c>
      <c r="H9" s="15" t="s">
        <v>30</v>
      </c>
      <c r="I9" s="16"/>
      <c r="J9" s="16"/>
      <c r="K9" s="16"/>
      <c r="L9" s="16"/>
      <c r="M9" s="16"/>
      <c r="N9" s="16"/>
    </row>
    <row r="10" spans="1:14" s="17" customFormat="1" ht="23.1" customHeight="1" x14ac:dyDescent="0.3">
      <c r="A10" s="198" t="s">
        <v>51</v>
      </c>
      <c r="B10" s="198"/>
      <c r="C10" s="198"/>
      <c r="D10" s="198"/>
      <c r="F10" s="183" t="s">
        <v>66</v>
      </c>
      <c r="G10" s="184"/>
      <c r="H10" s="185"/>
      <c r="I10" s="18"/>
      <c r="J10" s="18"/>
      <c r="K10" s="18"/>
      <c r="L10" s="18"/>
      <c r="M10" s="19"/>
      <c r="N10" s="20"/>
    </row>
    <row r="11" spans="1:14" s="24" customFormat="1" ht="12.75" customHeight="1" x14ac:dyDescent="0.25">
      <c r="A11" s="21" t="s">
        <v>21</v>
      </c>
      <c r="B11" s="22" t="s">
        <v>22</v>
      </c>
      <c r="C11" s="22" t="s">
        <v>23</v>
      </c>
      <c r="D11" s="23" t="s">
        <v>25</v>
      </c>
      <c r="F11" s="186"/>
      <c r="G11" s="187"/>
      <c r="H11" s="188"/>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78" t="s">
        <v>53</v>
      </c>
      <c r="B27" s="179"/>
      <c r="C27" s="179"/>
      <c r="D27" s="96">
        <f>SUM(Grass_32[Amount])</f>
        <v>0</v>
      </c>
      <c r="F27" s="173" t="s">
        <v>33</v>
      </c>
      <c r="G27" s="174"/>
      <c r="H27" s="174"/>
      <c r="I27" s="35"/>
      <c r="J27" s="35"/>
      <c r="K27" s="35"/>
      <c r="L27" s="35"/>
      <c r="M27" s="36"/>
      <c r="N27" s="37"/>
    </row>
    <row r="28" spans="1:14" s="40" customFormat="1" ht="11.1" customHeight="1" x14ac:dyDescent="0.3">
      <c r="A28" s="38"/>
      <c r="B28" s="38"/>
      <c r="C28" s="38"/>
      <c r="D28" s="39"/>
      <c r="F28" s="173"/>
      <c r="G28" s="174"/>
      <c r="H28" s="174"/>
      <c r="I28" s="35"/>
      <c r="J28" s="35"/>
      <c r="K28" s="35"/>
      <c r="L28" s="35"/>
      <c r="M28" s="36"/>
      <c r="N28" s="37"/>
    </row>
    <row r="29" spans="1:14" s="17" customFormat="1" ht="23.1" customHeight="1" x14ac:dyDescent="0.3">
      <c r="A29" s="191" t="s">
        <v>67</v>
      </c>
      <c r="B29" s="192"/>
      <c r="C29" s="192"/>
      <c r="D29" s="193"/>
      <c r="F29" s="183" t="s">
        <v>52</v>
      </c>
      <c r="G29" s="184"/>
      <c r="H29" s="185"/>
      <c r="I29" s="18"/>
      <c r="J29" s="18"/>
      <c r="K29" s="18"/>
      <c r="L29" s="18"/>
      <c r="M29" s="19"/>
      <c r="N29" s="20"/>
    </row>
    <row r="30" spans="1:14" s="41" customFormat="1" ht="12.75" customHeight="1" x14ac:dyDescent="0.25">
      <c r="A30" s="21" t="s">
        <v>21</v>
      </c>
      <c r="B30" s="22" t="s">
        <v>22</v>
      </c>
      <c r="C30" s="22" t="s">
        <v>23</v>
      </c>
      <c r="D30" s="23" t="s">
        <v>25</v>
      </c>
      <c r="F30" s="186"/>
      <c r="G30" s="187"/>
      <c r="H30" s="188"/>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19"/>
      <c r="J44" s="29"/>
      <c r="K44" s="29"/>
      <c r="L44" s="119"/>
      <c r="M44" s="30"/>
      <c r="N44" s="16"/>
    </row>
    <row r="45" spans="1:14" x14ac:dyDescent="0.3">
      <c r="A45" s="106"/>
      <c r="B45" s="107"/>
      <c r="C45" s="107"/>
      <c r="D45" s="114"/>
      <c r="F45" s="103"/>
      <c r="G45" s="104"/>
      <c r="H45" s="109"/>
      <c r="I45" s="119"/>
      <c r="J45" s="29"/>
      <c r="K45" s="29"/>
      <c r="L45" s="119"/>
      <c r="M45" s="30"/>
      <c r="N45" s="16"/>
    </row>
    <row r="46" spans="1:14" s="34" customFormat="1" x14ac:dyDescent="0.3">
      <c r="A46" s="178" t="s">
        <v>54</v>
      </c>
      <c r="B46" s="179"/>
      <c r="C46" s="179"/>
      <c r="D46" s="96">
        <f>SUM(Tree_32[Amount])</f>
        <v>0</v>
      </c>
      <c r="F46" s="173" t="s">
        <v>33</v>
      </c>
      <c r="G46" s="174"/>
      <c r="H46" s="174"/>
      <c r="I46" s="43"/>
      <c r="J46" s="43"/>
      <c r="K46" s="43"/>
      <c r="L46" s="43"/>
      <c r="M46" s="36"/>
      <c r="N46" s="37"/>
    </row>
    <row r="47" spans="1:14" s="40" customFormat="1" ht="11.1" customHeight="1" x14ac:dyDescent="0.3">
      <c r="A47" s="38"/>
      <c r="B47" s="38"/>
      <c r="C47" s="38"/>
      <c r="D47" s="39"/>
      <c r="F47" s="173"/>
      <c r="G47" s="174"/>
      <c r="H47" s="174"/>
      <c r="I47" s="43"/>
      <c r="J47" s="43"/>
      <c r="K47" s="43"/>
      <c r="L47" s="43"/>
      <c r="M47" s="36"/>
      <c r="N47" s="37"/>
    </row>
    <row r="48" spans="1:14" s="17" customFormat="1" ht="23.1" customHeight="1" x14ac:dyDescent="0.3">
      <c r="A48" s="191" t="s">
        <v>68</v>
      </c>
      <c r="B48" s="192"/>
      <c r="C48" s="192"/>
      <c r="D48" s="193"/>
      <c r="F48" s="183" t="s">
        <v>55</v>
      </c>
      <c r="G48" s="184"/>
      <c r="H48" s="185"/>
      <c r="I48" s="44"/>
      <c r="J48" s="44"/>
      <c r="K48" s="44"/>
      <c r="L48" s="44"/>
      <c r="M48" s="19"/>
      <c r="N48" s="20"/>
    </row>
    <row r="49" spans="1:14" s="41" customFormat="1" ht="12.75" customHeight="1" x14ac:dyDescent="0.25">
      <c r="A49" s="21" t="s">
        <v>21</v>
      </c>
      <c r="B49" s="22" t="s">
        <v>22</v>
      </c>
      <c r="C49" s="22" t="s">
        <v>23</v>
      </c>
      <c r="D49" s="23" t="s">
        <v>25</v>
      </c>
      <c r="F49" s="186"/>
      <c r="G49" s="187"/>
      <c r="H49" s="188"/>
      <c r="I49" s="119"/>
      <c r="J49" s="119"/>
      <c r="K49" s="119"/>
      <c r="L49" s="119"/>
      <c r="M49" s="30"/>
      <c r="N49" s="42"/>
    </row>
    <row r="50" spans="1:14" x14ac:dyDescent="0.3">
      <c r="A50" s="100"/>
      <c r="B50" s="101"/>
      <c r="C50" s="101"/>
      <c r="D50" s="112"/>
      <c r="F50" s="103"/>
      <c r="G50" s="104"/>
      <c r="H50" s="109"/>
      <c r="I50" s="119"/>
      <c r="J50" s="119"/>
      <c r="K50" s="119"/>
      <c r="L50" s="119"/>
      <c r="M50" s="30"/>
      <c r="N50" s="16"/>
    </row>
    <row r="51" spans="1:14" x14ac:dyDescent="0.3">
      <c r="A51" s="106"/>
      <c r="B51" s="107"/>
      <c r="C51" s="107"/>
      <c r="D51" s="113"/>
      <c r="F51" s="103"/>
      <c r="G51" s="104"/>
      <c r="H51" s="109"/>
      <c r="I51" s="119"/>
      <c r="J51" s="119"/>
      <c r="K51" s="119"/>
      <c r="L51" s="119"/>
      <c r="M51" s="30"/>
      <c r="N51" s="16"/>
    </row>
    <row r="52" spans="1:14" x14ac:dyDescent="0.3">
      <c r="A52" s="106"/>
      <c r="B52" s="107"/>
      <c r="C52" s="107"/>
      <c r="D52" s="114"/>
      <c r="F52" s="103"/>
      <c r="H52" s="109"/>
      <c r="I52" s="119"/>
      <c r="J52" s="119"/>
      <c r="K52" s="119"/>
      <c r="L52" s="119"/>
      <c r="M52" s="30"/>
      <c r="N52" s="16"/>
    </row>
    <row r="53" spans="1:14" x14ac:dyDescent="0.3">
      <c r="A53" s="106"/>
      <c r="B53" s="107"/>
      <c r="C53" s="107"/>
      <c r="D53" s="113"/>
      <c r="F53" s="103"/>
      <c r="G53" s="104"/>
      <c r="H53" s="109"/>
      <c r="I53" s="119"/>
      <c r="J53" s="119"/>
      <c r="K53" s="119"/>
      <c r="L53" s="119"/>
      <c r="M53" s="30"/>
      <c r="N53" s="16"/>
    </row>
    <row r="54" spans="1:14" x14ac:dyDescent="0.3">
      <c r="A54" s="106"/>
      <c r="B54" s="107"/>
      <c r="C54" s="107"/>
      <c r="D54" s="114"/>
      <c r="F54" s="103"/>
      <c r="G54" s="104"/>
      <c r="H54" s="109"/>
      <c r="I54" s="119"/>
      <c r="J54" s="119"/>
      <c r="K54" s="119"/>
      <c r="L54" s="119"/>
      <c r="M54" s="30"/>
      <c r="N54" s="16"/>
    </row>
    <row r="55" spans="1:14" x14ac:dyDescent="0.3">
      <c r="A55" s="106"/>
      <c r="B55" s="107"/>
      <c r="C55" s="107"/>
      <c r="D55" s="113"/>
      <c r="F55" s="103"/>
      <c r="G55" s="104"/>
      <c r="H55" s="109"/>
      <c r="I55" s="119"/>
      <c r="J55" s="119"/>
      <c r="K55" s="119"/>
      <c r="L55" s="119"/>
      <c r="M55" s="30"/>
      <c r="N55" s="16"/>
    </row>
    <row r="56" spans="1:14" x14ac:dyDescent="0.3">
      <c r="A56" s="106"/>
      <c r="B56" s="107"/>
      <c r="C56" s="107"/>
      <c r="D56" s="114"/>
      <c r="F56" s="103"/>
      <c r="G56" s="104"/>
      <c r="H56" s="109"/>
      <c r="I56" s="119"/>
      <c r="J56" s="119"/>
      <c r="K56" s="119"/>
      <c r="L56" s="119"/>
      <c r="M56" s="30"/>
      <c r="N56" s="16"/>
    </row>
    <row r="57" spans="1:14" x14ac:dyDescent="0.3">
      <c r="A57" s="106"/>
      <c r="B57" s="107"/>
      <c r="C57" s="107"/>
      <c r="D57" s="113"/>
      <c r="F57" s="103"/>
      <c r="G57" s="104"/>
      <c r="H57" s="109"/>
      <c r="I57" s="119"/>
      <c r="J57" s="119"/>
      <c r="K57" s="119"/>
      <c r="L57" s="119"/>
      <c r="M57" s="30"/>
      <c r="N57" s="16"/>
    </row>
    <row r="58" spans="1:14" x14ac:dyDescent="0.3">
      <c r="A58" s="106"/>
      <c r="B58" s="107"/>
      <c r="C58" s="107"/>
      <c r="D58" s="114"/>
      <c r="F58" s="103"/>
      <c r="G58" s="104"/>
      <c r="H58" s="109"/>
      <c r="I58" s="119"/>
      <c r="J58" s="119"/>
      <c r="K58" s="119"/>
      <c r="L58" s="119"/>
      <c r="M58" s="30"/>
      <c r="N58" s="16"/>
    </row>
    <row r="59" spans="1:14" x14ac:dyDescent="0.3">
      <c r="A59" s="106"/>
      <c r="B59" s="107"/>
      <c r="C59" s="107"/>
      <c r="D59" s="113"/>
      <c r="F59" s="103"/>
      <c r="G59" s="104"/>
      <c r="H59" s="109"/>
      <c r="I59" s="119"/>
      <c r="J59" s="190"/>
      <c r="K59" s="190"/>
      <c r="L59" s="119"/>
      <c r="M59" s="30"/>
      <c r="N59" s="16"/>
    </row>
    <row r="60" spans="1:14" x14ac:dyDescent="0.3">
      <c r="A60" s="106"/>
      <c r="B60" s="107"/>
      <c r="C60" s="107"/>
      <c r="D60" s="114"/>
      <c r="F60" s="103"/>
      <c r="G60" s="104"/>
      <c r="H60" s="109"/>
      <c r="I60" s="189"/>
      <c r="J60" s="189"/>
      <c r="K60" s="189"/>
      <c r="L60" s="189"/>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78" t="s">
        <v>56</v>
      </c>
      <c r="B65" s="179"/>
      <c r="C65" s="179"/>
      <c r="D65" s="96">
        <f>SUM(Pest_32[Amount])</f>
        <v>0</v>
      </c>
      <c r="F65" s="173" t="s">
        <v>33</v>
      </c>
      <c r="G65" s="174"/>
      <c r="H65" s="174"/>
    </row>
    <row r="66" spans="1:8" x14ac:dyDescent="0.3">
      <c r="F66" s="173"/>
      <c r="G66" s="174"/>
      <c r="H66" s="174"/>
    </row>
    <row r="67" spans="1:8" ht="17.399999999999999" x14ac:dyDescent="0.3">
      <c r="A67" s="198" t="s">
        <v>69</v>
      </c>
      <c r="B67" s="198"/>
      <c r="C67" s="198"/>
      <c r="D67" s="198"/>
      <c r="E67" s="17"/>
      <c r="F67" s="183" t="s">
        <v>57</v>
      </c>
      <c r="G67" s="184"/>
      <c r="H67" s="185"/>
    </row>
    <row r="68" spans="1:8" x14ac:dyDescent="0.3">
      <c r="A68" s="21" t="s">
        <v>21</v>
      </c>
      <c r="B68" s="22" t="s">
        <v>22</v>
      </c>
      <c r="C68" s="22" t="s">
        <v>23</v>
      </c>
      <c r="D68" s="23" t="s">
        <v>25</v>
      </c>
      <c r="E68" s="24"/>
      <c r="F68" s="186"/>
      <c r="G68" s="187"/>
      <c r="H68" s="188"/>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78" t="s">
        <v>58</v>
      </c>
      <c r="B84" s="179"/>
      <c r="C84" s="179"/>
      <c r="D84" s="96">
        <f>SUM(Garbage_32[Amount])</f>
        <v>0</v>
      </c>
      <c r="E84" s="34"/>
      <c r="F84" s="173" t="s">
        <v>33</v>
      </c>
      <c r="G84" s="174"/>
      <c r="H84" s="174"/>
    </row>
    <row r="85" spans="1:8" x14ac:dyDescent="0.3">
      <c r="A85" s="38"/>
      <c r="B85" s="38"/>
      <c r="C85" s="38"/>
      <c r="D85" s="39"/>
      <c r="E85" s="40"/>
      <c r="F85" s="173"/>
      <c r="G85" s="174"/>
      <c r="H85" s="174"/>
    </row>
    <row r="86" spans="1:8" ht="17.399999999999999" x14ac:dyDescent="0.3">
      <c r="A86" s="191" t="s">
        <v>59</v>
      </c>
      <c r="B86" s="192"/>
      <c r="C86" s="192"/>
      <c r="D86" s="193"/>
      <c r="E86" s="17"/>
      <c r="F86" s="183" t="s">
        <v>60</v>
      </c>
      <c r="G86" s="184"/>
      <c r="H86" s="185"/>
    </row>
    <row r="87" spans="1:8" x14ac:dyDescent="0.3">
      <c r="A87" s="21" t="s">
        <v>21</v>
      </c>
      <c r="B87" s="22" t="s">
        <v>22</v>
      </c>
      <c r="C87" s="22" t="s">
        <v>23</v>
      </c>
      <c r="D87" s="23" t="s">
        <v>25</v>
      </c>
      <c r="E87" s="41"/>
      <c r="F87" s="186"/>
      <c r="G87" s="187"/>
      <c r="H87" s="188"/>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78" t="s">
        <v>61</v>
      </c>
      <c r="B103" s="179"/>
      <c r="C103" s="179"/>
      <c r="D103" s="96">
        <f>SUM(Boarding_32[Amount])</f>
        <v>0</v>
      </c>
      <c r="E103" s="34"/>
      <c r="F103" s="173" t="s">
        <v>33</v>
      </c>
      <c r="G103" s="174"/>
      <c r="H103" s="174"/>
    </row>
    <row r="104" spans="1:8" x14ac:dyDescent="0.3">
      <c r="A104" s="38"/>
      <c r="B104" s="38"/>
      <c r="C104" s="38"/>
      <c r="D104" s="39"/>
      <c r="E104" s="40"/>
      <c r="F104" s="173"/>
      <c r="G104" s="174"/>
      <c r="H104" s="174"/>
    </row>
    <row r="105" spans="1:8" ht="17.399999999999999" x14ac:dyDescent="0.3">
      <c r="A105" s="191" t="s">
        <v>70</v>
      </c>
      <c r="B105" s="192"/>
      <c r="C105" s="192"/>
      <c r="D105" s="193"/>
      <c r="E105" s="17"/>
      <c r="F105" s="183" t="s">
        <v>62</v>
      </c>
      <c r="G105" s="184"/>
      <c r="H105" s="185"/>
    </row>
    <row r="106" spans="1:8" x14ac:dyDescent="0.3">
      <c r="A106" s="21" t="s">
        <v>21</v>
      </c>
      <c r="B106" s="22" t="s">
        <v>22</v>
      </c>
      <c r="C106" s="22" t="s">
        <v>23</v>
      </c>
      <c r="D106" s="23" t="s">
        <v>25</v>
      </c>
      <c r="E106" s="41"/>
      <c r="F106" s="186"/>
      <c r="G106" s="187"/>
      <c r="H106" s="188"/>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78" t="s">
        <v>63</v>
      </c>
      <c r="B122" s="179"/>
      <c r="C122" s="179"/>
      <c r="D122" s="96">
        <f>SUM(Fence_32[Amount])</f>
        <v>0</v>
      </c>
      <c r="E122" s="34"/>
      <c r="F122" s="173" t="s">
        <v>33</v>
      </c>
      <c r="G122" s="174"/>
      <c r="H122" s="174"/>
    </row>
    <row r="123" spans="1:8" x14ac:dyDescent="0.3">
      <c r="F123" s="173"/>
      <c r="G123" s="174"/>
      <c r="H123" s="174"/>
    </row>
    <row r="124" spans="1:8" ht="17.399999999999999" x14ac:dyDescent="0.3">
      <c r="A124" s="191" t="s">
        <v>26</v>
      </c>
      <c r="B124" s="192"/>
      <c r="C124" s="192"/>
      <c r="D124" s="193"/>
      <c r="E124" s="17"/>
      <c r="F124" s="183" t="s">
        <v>11</v>
      </c>
      <c r="G124" s="184"/>
      <c r="H124" s="185"/>
    </row>
    <row r="125" spans="1:8" x14ac:dyDescent="0.3">
      <c r="A125" s="21" t="s">
        <v>21</v>
      </c>
      <c r="B125" s="22" t="s">
        <v>22</v>
      </c>
      <c r="C125" s="22" t="s">
        <v>23</v>
      </c>
      <c r="D125" s="23" t="s">
        <v>25</v>
      </c>
      <c r="E125" s="41"/>
      <c r="F125" s="186"/>
      <c r="G125" s="187"/>
      <c r="H125" s="188"/>
    </row>
    <row r="126" spans="1:8" x14ac:dyDescent="0.3">
      <c r="A126" s="100"/>
      <c r="B126" s="101"/>
      <c r="C126" s="101"/>
      <c r="D126" s="112">
        <v>20310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78" t="s">
        <v>27</v>
      </c>
      <c r="B141" s="179"/>
      <c r="C141" s="179"/>
      <c r="D141" s="96">
        <f>SUM(Demolition_32[Amount])</f>
        <v>20310</v>
      </c>
      <c r="E141" s="34"/>
      <c r="F141" s="173" t="s">
        <v>33</v>
      </c>
      <c r="G141" s="174"/>
      <c r="H141" s="174"/>
    </row>
    <row r="142" spans="1:8" x14ac:dyDescent="0.3">
      <c r="A142" s="38"/>
      <c r="B142" s="38"/>
      <c r="C142" s="38"/>
      <c r="D142" s="39"/>
      <c r="E142" s="40"/>
      <c r="F142" s="173"/>
      <c r="G142" s="174"/>
      <c r="H142" s="174"/>
    </row>
    <row r="143" spans="1:8" ht="17.399999999999999" x14ac:dyDescent="0.3">
      <c r="A143" s="191" t="s">
        <v>64</v>
      </c>
      <c r="B143" s="192"/>
      <c r="C143" s="192"/>
      <c r="D143" s="193"/>
      <c r="E143" s="17"/>
      <c r="F143" s="183" t="s">
        <v>44</v>
      </c>
      <c r="G143" s="184"/>
      <c r="H143" s="185"/>
    </row>
    <row r="144" spans="1:8" x14ac:dyDescent="0.3">
      <c r="A144" s="21" t="s">
        <v>21</v>
      </c>
      <c r="B144" s="22" t="s">
        <v>22</v>
      </c>
      <c r="C144" s="22" t="s">
        <v>23</v>
      </c>
      <c r="D144" s="23" t="s">
        <v>25</v>
      </c>
      <c r="E144" s="41"/>
      <c r="F144" s="186"/>
      <c r="G144" s="187"/>
      <c r="H144" s="188"/>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78" t="s">
        <v>65</v>
      </c>
      <c r="B160" s="179"/>
      <c r="C160" s="179"/>
      <c r="D160" s="96">
        <f>SUM(Rehab_32[Amount])</f>
        <v>0</v>
      </c>
      <c r="E160" s="34"/>
      <c r="F160" s="173" t="s">
        <v>33</v>
      </c>
      <c r="G160" s="174"/>
      <c r="H160" s="174"/>
    </row>
    <row r="161" spans="6:8" x14ac:dyDescent="0.3">
      <c r="F161" s="173"/>
      <c r="G161" s="174"/>
      <c r="H161" s="174"/>
    </row>
  </sheetData>
  <sheetProtection algorithmName="SHA-512" hashValue="8h/7fDaLw3UYxMVVw3GG0lbolzzIttcFqWIjxX7FwGWlm+dvJvxcQ5M7l1OoPOcFLMVySRzm7c24qem4ZLAjZw==" saltValue="ULm3fYkayelAAngODrx8oQ=="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N161"/>
  <sheetViews>
    <sheetView showGridLines="0" zoomScaleNormal="100" workbookViewId="0">
      <pane ySplit="9" topLeftCell="A124"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5" t="s">
        <v>24</v>
      </c>
      <c r="B1" s="175"/>
      <c r="C1" s="175"/>
      <c r="D1" s="175"/>
      <c r="E1" s="1"/>
      <c r="F1" s="2"/>
      <c r="G1" s="2"/>
      <c r="H1" s="1"/>
    </row>
    <row r="2" spans="1:14" ht="24.9" customHeight="1" x14ac:dyDescent="0.3">
      <c r="A2" s="176" t="s">
        <v>71</v>
      </c>
      <c r="B2" s="176"/>
      <c r="C2" s="176"/>
      <c r="D2" s="176"/>
      <c r="E2" s="4"/>
      <c r="F2" s="120"/>
      <c r="G2" s="120"/>
      <c r="H2" s="5"/>
    </row>
    <row r="3" spans="1:14" ht="31.5" customHeight="1" x14ac:dyDescent="0.3">
      <c r="A3" s="176"/>
      <c r="B3" s="176"/>
      <c r="C3" s="176"/>
      <c r="D3" s="176"/>
      <c r="E3" s="4"/>
      <c r="F3" s="120"/>
      <c r="G3" s="120"/>
      <c r="H3" s="5"/>
    </row>
    <row r="4" spans="1:14" ht="15" customHeight="1" x14ac:dyDescent="0.25">
      <c r="A4" s="75" t="s">
        <v>19</v>
      </c>
      <c r="B4" s="194" t="str">
        <f>IF('Summary Sheet'!B65="","",'Summary Sheet'!B65)</f>
        <v>1543 W 61ST ST</v>
      </c>
      <c r="C4" s="194"/>
      <c r="D4" s="120"/>
      <c r="E4" s="4"/>
      <c r="F4" s="120"/>
      <c r="G4" s="120"/>
      <c r="H4" s="5"/>
    </row>
    <row r="5" spans="1:14" ht="15" customHeight="1" x14ac:dyDescent="0.25">
      <c r="A5" s="75" t="s">
        <v>20</v>
      </c>
      <c r="B5" s="195" t="str">
        <f>IF('Summary Sheet'!C65="","",'Summary Sheet'!C65)</f>
        <v/>
      </c>
      <c r="C5" s="195"/>
      <c r="D5" s="120"/>
      <c r="E5" s="4"/>
      <c r="F5" s="120"/>
      <c r="G5" s="120"/>
      <c r="H5" s="5"/>
    </row>
    <row r="6" spans="1:14" ht="15" customHeight="1" x14ac:dyDescent="0.25">
      <c r="A6" s="75" t="s">
        <v>36</v>
      </c>
      <c r="B6" s="177"/>
      <c r="C6" s="177"/>
      <c r="D6" s="6"/>
      <c r="E6" s="7"/>
    </row>
    <row r="7" spans="1:14" ht="15" customHeight="1" x14ac:dyDescent="0.25">
      <c r="A7" s="7"/>
      <c r="B7" s="196" t="s">
        <v>34</v>
      </c>
      <c r="C7" s="196"/>
      <c r="D7" s="10"/>
    </row>
    <row r="8" spans="1:14" ht="20.100000000000001" customHeight="1" x14ac:dyDescent="0.25">
      <c r="B8" s="11"/>
      <c r="C8" s="11"/>
      <c r="D8" s="12" t="s">
        <v>31</v>
      </c>
      <c r="F8" s="180" t="s">
        <v>32</v>
      </c>
      <c r="G8" s="181"/>
      <c r="H8" s="182"/>
    </row>
    <row r="9" spans="1:14" s="14" customFormat="1" ht="20.100000000000001" customHeight="1" x14ac:dyDescent="0.25">
      <c r="A9" s="197"/>
      <c r="B9" s="197"/>
      <c r="C9" s="197"/>
      <c r="D9" s="13">
        <f>SUM(D27,D46,D65,D84,D103,D122,D141,D160)</f>
        <v>19810</v>
      </c>
      <c r="F9" s="15" t="s">
        <v>28</v>
      </c>
      <c r="G9" s="15" t="s">
        <v>29</v>
      </c>
      <c r="H9" s="15" t="s">
        <v>30</v>
      </c>
      <c r="I9" s="16"/>
      <c r="J9" s="16"/>
      <c r="K9" s="16"/>
      <c r="L9" s="16"/>
      <c r="M9" s="16"/>
      <c r="N9" s="16"/>
    </row>
    <row r="10" spans="1:14" s="17" customFormat="1" ht="23.1" customHeight="1" x14ac:dyDescent="0.3">
      <c r="A10" s="198" t="s">
        <v>51</v>
      </c>
      <c r="B10" s="198"/>
      <c r="C10" s="198"/>
      <c r="D10" s="198"/>
      <c r="F10" s="183" t="s">
        <v>66</v>
      </c>
      <c r="G10" s="184"/>
      <c r="H10" s="185"/>
      <c r="I10" s="18"/>
      <c r="J10" s="18"/>
      <c r="K10" s="18"/>
      <c r="L10" s="18"/>
      <c r="M10" s="19"/>
      <c r="N10" s="20"/>
    </row>
    <row r="11" spans="1:14" s="24" customFormat="1" ht="12.75" customHeight="1" x14ac:dyDescent="0.25">
      <c r="A11" s="21" t="s">
        <v>21</v>
      </c>
      <c r="B11" s="22" t="s">
        <v>22</v>
      </c>
      <c r="C11" s="22" t="s">
        <v>23</v>
      </c>
      <c r="D11" s="23" t="s">
        <v>25</v>
      </c>
      <c r="F11" s="186"/>
      <c r="G11" s="187"/>
      <c r="H11" s="188"/>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78" t="s">
        <v>53</v>
      </c>
      <c r="B27" s="179"/>
      <c r="C27" s="179"/>
      <c r="D27" s="96">
        <f>SUM(Grass_33[Amount])</f>
        <v>0</v>
      </c>
      <c r="F27" s="173" t="s">
        <v>33</v>
      </c>
      <c r="G27" s="174"/>
      <c r="H27" s="174"/>
      <c r="I27" s="35"/>
      <c r="J27" s="35"/>
      <c r="K27" s="35"/>
      <c r="L27" s="35"/>
      <c r="M27" s="36"/>
      <c r="N27" s="37"/>
    </row>
    <row r="28" spans="1:14" s="40" customFormat="1" ht="11.1" customHeight="1" x14ac:dyDescent="0.3">
      <c r="A28" s="38"/>
      <c r="B28" s="38"/>
      <c r="C28" s="38"/>
      <c r="D28" s="39"/>
      <c r="F28" s="173"/>
      <c r="G28" s="174"/>
      <c r="H28" s="174"/>
      <c r="I28" s="35"/>
      <c r="J28" s="35"/>
      <c r="K28" s="35"/>
      <c r="L28" s="35"/>
      <c r="M28" s="36"/>
      <c r="N28" s="37"/>
    </row>
    <row r="29" spans="1:14" s="17" customFormat="1" ht="23.1" customHeight="1" x14ac:dyDescent="0.3">
      <c r="A29" s="191" t="s">
        <v>67</v>
      </c>
      <c r="B29" s="192"/>
      <c r="C29" s="192"/>
      <c r="D29" s="193"/>
      <c r="F29" s="183" t="s">
        <v>52</v>
      </c>
      <c r="G29" s="184"/>
      <c r="H29" s="185"/>
      <c r="I29" s="18"/>
      <c r="J29" s="18"/>
      <c r="K29" s="18"/>
      <c r="L29" s="18"/>
      <c r="M29" s="19"/>
      <c r="N29" s="20"/>
    </row>
    <row r="30" spans="1:14" s="41" customFormat="1" ht="12.75" customHeight="1" x14ac:dyDescent="0.25">
      <c r="A30" s="21" t="s">
        <v>21</v>
      </c>
      <c r="B30" s="22" t="s">
        <v>22</v>
      </c>
      <c r="C30" s="22" t="s">
        <v>23</v>
      </c>
      <c r="D30" s="23" t="s">
        <v>25</v>
      </c>
      <c r="F30" s="186"/>
      <c r="G30" s="187"/>
      <c r="H30" s="188"/>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19"/>
      <c r="J44" s="29"/>
      <c r="K44" s="29"/>
      <c r="L44" s="119"/>
      <c r="M44" s="30"/>
      <c r="N44" s="16"/>
    </row>
    <row r="45" spans="1:14" x14ac:dyDescent="0.3">
      <c r="A45" s="106"/>
      <c r="B45" s="107"/>
      <c r="C45" s="107"/>
      <c r="D45" s="114"/>
      <c r="F45" s="103"/>
      <c r="G45" s="104"/>
      <c r="H45" s="109"/>
      <c r="I45" s="119"/>
      <c r="J45" s="29"/>
      <c r="K45" s="29"/>
      <c r="L45" s="119"/>
      <c r="M45" s="30"/>
      <c r="N45" s="16"/>
    </row>
    <row r="46" spans="1:14" s="34" customFormat="1" x14ac:dyDescent="0.3">
      <c r="A46" s="178" t="s">
        <v>54</v>
      </c>
      <c r="B46" s="179"/>
      <c r="C46" s="179"/>
      <c r="D46" s="96">
        <f>SUM(Tree_33[Amount])</f>
        <v>0</v>
      </c>
      <c r="F46" s="173" t="s">
        <v>33</v>
      </c>
      <c r="G46" s="174"/>
      <c r="H46" s="174"/>
      <c r="I46" s="43"/>
      <c r="J46" s="43"/>
      <c r="K46" s="43"/>
      <c r="L46" s="43"/>
      <c r="M46" s="36"/>
      <c r="N46" s="37"/>
    </row>
    <row r="47" spans="1:14" s="40" customFormat="1" ht="11.1" customHeight="1" x14ac:dyDescent="0.3">
      <c r="A47" s="38"/>
      <c r="B47" s="38"/>
      <c r="C47" s="38"/>
      <c r="D47" s="39"/>
      <c r="F47" s="173"/>
      <c r="G47" s="174"/>
      <c r="H47" s="174"/>
      <c r="I47" s="43"/>
      <c r="J47" s="43"/>
      <c r="K47" s="43"/>
      <c r="L47" s="43"/>
      <c r="M47" s="36"/>
      <c r="N47" s="37"/>
    </row>
    <row r="48" spans="1:14" s="17" customFormat="1" ht="23.1" customHeight="1" x14ac:dyDescent="0.3">
      <c r="A48" s="191" t="s">
        <v>68</v>
      </c>
      <c r="B48" s="192"/>
      <c r="C48" s="192"/>
      <c r="D48" s="193"/>
      <c r="F48" s="183" t="s">
        <v>55</v>
      </c>
      <c r="G48" s="184"/>
      <c r="H48" s="185"/>
      <c r="I48" s="44"/>
      <c r="J48" s="44"/>
      <c r="K48" s="44"/>
      <c r="L48" s="44"/>
      <c r="M48" s="19"/>
      <c r="N48" s="20"/>
    </row>
    <row r="49" spans="1:14" s="41" customFormat="1" ht="12.75" customHeight="1" x14ac:dyDescent="0.25">
      <c r="A49" s="21" t="s">
        <v>21</v>
      </c>
      <c r="B49" s="22" t="s">
        <v>22</v>
      </c>
      <c r="C49" s="22" t="s">
        <v>23</v>
      </c>
      <c r="D49" s="23" t="s">
        <v>25</v>
      </c>
      <c r="F49" s="186"/>
      <c r="G49" s="187"/>
      <c r="H49" s="188"/>
      <c r="I49" s="119"/>
      <c r="J49" s="119"/>
      <c r="K49" s="119"/>
      <c r="L49" s="119"/>
      <c r="M49" s="30"/>
      <c r="N49" s="42"/>
    </row>
    <row r="50" spans="1:14" x14ac:dyDescent="0.3">
      <c r="A50" s="100"/>
      <c r="B50" s="101"/>
      <c r="C50" s="101"/>
      <c r="D50" s="112"/>
      <c r="F50" s="103"/>
      <c r="G50" s="104"/>
      <c r="H50" s="109"/>
      <c r="I50" s="119"/>
      <c r="J50" s="119"/>
      <c r="K50" s="119"/>
      <c r="L50" s="119"/>
      <c r="M50" s="30"/>
      <c r="N50" s="16"/>
    </row>
    <row r="51" spans="1:14" x14ac:dyDescent="0.3">
      <c r="A51" s="106"/>
      <c r="B51" s="107"/>
      <c r="C51" s="107"/>
      <c r="D51" s="113"/>
      <c r="F51" s="103"/>
      <c r="G51" s="104"/>
      <c r="H51" s="109"/>
      <c r="I51" s="119"/>
      <c r="J51" s="119"/>
      <c r="K51" s="119"/>
      <c r="L51" s="119"/>
      <c r="M51" s="30"/>
      <c r="N51" s="16"/>
    </row>
    <row r="52" spans="1:14" x14ac:dyDescent="0.3">
      <c r="A52" s="106"/>
      <c r="B52" s="107"/>
      <c r="C52" s="107"/>
      <c r="D52" s="114"/>
      <c r="F52" s="103"/>
      <c r="H52" s="109"/>
      <c r="I52" s="119"/>
      <c r="J52" s="119"/>
      <c r="K52" s="119"/>
      <c r="L52" s="119"/>
      <c r="M52" s="30"/>
      <c r="N52" s="16"/>
    </row>
    <row r="53" spans="1:14" x14ac:dyDescent="0.3">
      <c r="A53" s="106"/>
      <c r="B53" s="107"/>
      <c r="C53" s="107"/>
      <c r="D53" s="113"/>
      <c r="F53" s="103"/>
      <c r="G53" s="104"/>
      <c r="H53" s="109"/>
      <c r="I53" s="119"/>
      <c r="J53" s="119"/>
      <c r="K53" s="119"/>
      <c r="L53" s="119"/>
      <c r="M53" s="30"/>
      <c r="N53" s="16"/>
    </row>
    <row r="54" spans="1:14" x14ac:dyDescent="0.3">
      <c r="A54" s="106"/>
      <c r="B54" s="107"/>
      <c r="C54" s="107"/>
      <c r="D54" s="114"/>
      <c r="F54" s="103"/>
      <c r="G54" s="104"/>
      <c r="H54" s="109"/>
      <c r="I54" s="119"/>
      <c r="J54" s="119"/>
      <c r="K54" s="119"/>
      <c r="L54" s="119"/>
      <c r="M54" s="30"/>
      <c r="N54" s="16"/>
    </row>
    <row r="55" spans="1:14" x14ac:dyDescent="0.3">
      <c r="A55" s="106"/>
      <c r="B55" s="107"/>
      <c r="C55" s="107"/>
      <c r="D55" s="113"/>
      <c r="F55" s="103"/>
      <c r="G55" s="104"/>
      <c r="H55" s="109"/>
      <c r="I55" s="119"/>
      <c r="J55" s="119"/>
      <c r="K55" s="119"/>
      <c r="L55" s="119"/>
      <c r="M55" s="30"/>
      <c r="N55" s="16"/>
    </row>
    <row r="56" spans="1:14" x14ac:dyDescent="0.3">
      <c r="A56" s="106"/>
      <c r="B56" s="107"/>
      <c r="C56" s="107"/>
      <c r="D56" s="114"/>
      <c r="F56" s="103"/>
      <c r="G56" s="104"/>
      <c r="H56" s="109"/>
      <c r="I56" s="119"/>
      <c r="J56" s="119"/>
      <c r="K56" s="119"/>
      <c r="L56" s="119"/>
      <c r="M56" s="30"/>
      <c r="N56" s="16"/>
    </row>
    <row r="57" spans="1:14" x14ac:dyDescent="0.3">
      <c r="A57" s="106"/>
      <c r="B57" s="107"/>
      <c r="C57" s="107"/>
      <c r="D57" s="113"/>
      <c r="F57" s="103"/>
      <c r="G57" s="104"/>
      <c r="H57" s="109"/>
      <c r="I57" s="119"/>
      <c r="J57" s="119"/>
      <c r="K57" s="119"/>
      <c r="L57" s="119"/>
      <c r="M57" s="30"/>
      <c r="N57" s="16"/>
    </row>
    <row r="58" spans="1:14" x14ac:dyDescent="0.3">
      <c r="A58" s="106"/>
      <c r="B58" s="107"/>
      <c r="C58" s="107"/>
      <c r="D58" s="114"/>
      <c r="F58" s="103"/>
      <c r="G58" s="104"/>
      <c r="H58" s="109"/>
      <c r="I58" s="119"/>
      <c r="J58" s="119"/>
      <c r="K58" s="119"/>
      <c r="L58" s="119"/>
      <c r="M58" s="30"/>
      <c r="N58" s="16"/>
    </row>
    <row r="59" spans="1:14" x14ac:dyDescent="0.3">
      <c r="A59" s="106"/>
      <c r="B59" s="107"/>
      <c r="C59" s="107"/>
      <c r="D59" s="113"/>
      <c r="F59" s="103"/>
      <c r="G59" s="104"/>
      <c r="H59" s="109"/>
      <c r="I59" s="119"/>
      <c r="J59" s="190"/>
      <c r="K59" s="190"/>
      <c r="L59" s="119"/>
      <c r="M59" s="30"/>
      <c r="N59" s="16"/>
    </row>
    <row r="60" spans="1:14" x14ac:dyDescent="0.3">
      <c r="A60" s="106"/>
      <c r="B60" s="107"/>
      <c r="C60" s="107"/>
      <c r="D60" s="114"/>
      <c r="F60" s="103"/>
      <c r="G60" s="104"/>
      <c r="H60" s="109"/>
      <c r="I60" s="189"/>
      <c r="J60" s="189"/>
      <c r="K60" s="189"/>
      <c r="L60" s="189"/>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78" t="s">
        <v>56</v>
      </c>
      <c r="B65" s="179"/>
      <c r="C65" s="179"/>
      <c r="D65" s="96">
        <f>SUM(Pest_33[Amount])</f>
        <v>0</v>
      </c>
      <c r="F65" s="173" t="s">
        <v>33</v>
      </c>
      <c r="G65" s="174"/>
      <c r="H65" s="174"/>
    </row>
    <row r="66" spans="1:8" x14ac:dyDescent="0.3">
      <c r="F66" s="173"/>
      <c r="G66" s="174"/>
      <c r="H66" s="174"/>
    </row>
    <row r="67" spans="1:8" ht="17.399999999999999" x14ac:dyDescent="0.3">
      <c r="A67" s="198" t="s">
        <v>69</v>
      </c>
      <c r="B67" s="198"/>
      <c r="C67" s="198"/>
      <c r="D67" s="198"/>
      <c r="E67" s="17"/>
      <c r="F67" s="183" t="s">
        <v>57</v>
      </c>
      <c r="G67" s="184"/>
      <c r="H67" s="185"/>
    </row>
    <row r="68" spans="1:8" x14ac:dyDescent="0.3">
      <c r="A68" s="21" t="s">
        <v>21</v>
      </c>
      <c r="B68" s="22" t="s">
        <v>22</v>
      </c>
      <c r="C68" s="22" t="s">
        <v>23</v>
      </c>
      <c r="D68" s="23" t="s">
        <v>25</v>
      </c>
      <c r="E68" s="24"/>
      <c r="F68" s="186"/>
      <c r="G68" s="187"/>
      <c r="H68" s="188"/>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78" t="s">
        <v>58</v>
      </c>
      <c r="B84" s="179"/>
      <c r="C84" s="179"/>
      <c r="D84" s="96">
        <f>SUM(Garbage_33[Amount])</f>
        <v>0</v>
      </c>
      <c r="E84" s="34"/>
      <c r="F84" s="173" t="s">
        <v>33</v>
      </c>
      <c r="G84" s="174"/>
      <c r="H84" s="174"/>
    </row>
    <row r="85" spans="1:8" x14ac:dyDescent="0.3">
      <c r="A85" s="38"/>
      <c r="B85" s="38"/>
      <c r="C85" s="38"/>
      <c r="D85" s="39"/>
      <c r="E85" s="40"/>
      <c r="F85" s="173"/>
      <c r="G85" s="174"/>
      <c r="H85" s="174"/>
    </row>
    <row r="86" spans="1:8" ht="17.399999999999999" x14ac:dyDescent="0.3">
      <c r="A86" s="191" t="s">
        <v>59</v>
      </c>
      <c r="B86" s="192"/>
      <c r="C86" s="192"/>
      <c r="D86" s="193"/>
      <c r="E86" s="17"/>
      <c r="F86" s="183" t="s">
        <v>60</v>
      </c>
      <c r="G86" s="184"/>
      <c r="H86" s="185"/>
    </row>
    <row r="87" spans="1:8" x14ac:dyDescent="0.3">
      <c r="A87" s="21" t="s">
        <v>21</v>
      </c>
      <c r="B87" s="22" t="s">
        <v>22</v>
      </c>
      <c r="C87" s="22" t="s">
        <v>23</v>
      </c>
      <c r="D87" s="23" t="s">
        <v>25</v>
      </c>
      <c r="E87" s="41"/>
      <c r="F87" s="186"/>
      <c r="G87" s="187"/>
      <c r="H87" s="188"/>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78" t="s">
        <v>61</v>
      </c>
      <c r="B103" s="179"/>
      <c r="C103" s="179"/>
      <c r="D103" s="96">
        <f>SUM(Boarding_33[Amount])</f>
        <v>0</v>
      </c>
      <c r="E103" s="34"/>
      <c r="F103" s="173" t="s">
        <v>33</v>
      </c>
      <c r="G103" s="174"/>
      <c r="H103" s="174"/>
    </row>
    <row r="104" spans="1:8" x14ac:dyDescent="0.3">
      <c r="A104" s="38"/>
      <c r="B104" s="38"/>
      <c r="C104" s="38"/>
      <c r="D104" s="39"/>
      <c r="E104" s="40"/>
      <c r="F104" s="173"/>
      <c r="G104" s="174"/>
      <c r="H104" s="174"/>
    </row>
    <row r="105" spans="1:8" ht="17.399999999999999" x14ac:dyDescent="0.3">
      <c r="A105" s="191" t="s">
        <v>70</v>
      </c>
      <c r="B105" s="192"/>
      <c r="C105" s="192"/>
      <c r="D105" s="193"/>
      <c r="E105" s="17"/>
      <c r="F105" s="183" t="s">
        <v>62</v>
      </c>
      <c r="G105" s="184"/>
      <c r="H105" s="185"/>
    </row>
    <row r="106" spans="1:8" x14ac:dyDescent="0.3">
      <c r="A106" s="21" t="s">
        <v>21</v>
      </c>
      <c r="B106" s="22" t="s">
        <v>22</v>
      </c>
      <c r="C106" s="22" t="s">
        <v>23</v>
      </c>
      <c r="D106" s="23" t="s">
        <v>25</v>
      </c>
      <c r="E106" s="41"/>
      <c r="F106" s="186"/>
      <c r="G106" s="187"/>
      <c r="H106" s="188"/>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78" t="s">
        <v>63</v>
      </c>
      <c r="B122" s="179"/>
      <c r="C122" s="179"/>
      <c r="D122" s="96">
        <f>SUM(Fence_33[Amount])</f>
        <v>0</v>
      </c>
      <c r="E122" s="34"/>
      <c r="F122" s="173" t="s">
        <v>33</v>
      </c>
      <c r="G122" s="174"/>
      <c r="H122" s="174"/>
    </row>
    <row r="123" spans="1:8" x14ac:dyDescent="0.3">
      <c r="F123" s="173"/>
      <c r="G123" s="174"/>
      <c r="H123" s="174"/>
    </row>
    <row r="124" spans="1:8" ht="17.399999999999999" x14ac:dyDescent="0.3">
      <c r="A124" s="191" t="s">
        <v>26</v>
      </c>
      <c r="B124" s="192"/>
      <c r="C124" s="192"/>
      <c r="D124" s="193"/>
      <c r="E124" s="17"/>
      <c r="F124" s="183" t="s">
        <v>11</v>
      </c>
      <c r="G124" s="184"/>
      <c r="H124" s="185"/>
    </row>
    <row r="125" spans="1:8" x14ac:dyDescent="0.3">
      <c r="A125" s="21" t="s">
        <v>21</v>
      </c>
      <c r="B125" s="22" t="s">
        <v>22</v>
      </c>
      <c r="C125" s="22" t="s">
        <v>23</v>
      </c>
      <c r="D125" s="23" t="s">
        <v>25</v>
      </c>
      <c r="E125" s="41"/>
      <c r="F125" s="186"/>
      <c r="G125" s="187"/>
      <c r="H125" s="188"/>
    </row>
    <row r="126" spans="1:8" x14ac:dyDescent="0.3">
      <c r="A126" s="100"/>
      <c r="B126" s="101"/>
      <c r="C126" s="101"/>
      <c r="D126" s="112">
        <v>19810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78" t="s">
        <v>27</v>
      </c>
      <c r="B141" s="179"/>
      <c r="C141" s="179"/>
      <c r="D141" s="96">
        <f>SUM(Demolition_33[Amount])</f>
        <v>19810</v>
      </c>
      <c r="E141" s="34"/>
      <c r="F141" s="173" t="s">
        <v>33</v>
      </c>
      <c r="G141" s="174"/>
      <c r="H141" s="174"/>
    </row>
    <row r="142" spans="1:8" x14ac:dyDescent="0.3">
      <c r="A142" s="38"/>
      <c r="B142" s="38"/>
      <c r="C142" s="38"/>
      <c r="D142" s="39"/>
      <c r="E142" s="40"/>
      <c r="F142" s="173"/>
      <c r="G142" s="174"/>
      <c r="H142" s="174"/>
    </row>
    <row r="143" spans="1:8" ht="17.399999999999999" x14ac:dyDescent="0.3">
      <c r="A143" s="191" t="s">
        <v>64</v>
      </c>
      <c r="B143" s="192"/>
      <c r="C143" s="192"/>
      <c r="D143" s="193"/>
      <c r="E143" s="17"/>
      <c r="F143" s="183" t="s">
        <v>44</v>
      </c>
      <c r="G143" s="184"/>
      <c r="H143" s="185"/>
    </row>
    <row r="144" spans="1:8" x14ac:dyDescent="0.3">
      <c r="A144" s="21" t="s">
        <v>21</v>
      </c>
      <c r="B144" s="22" t="s">
        <v>22</v>
      </c>
      <c r="C144" s="22" t="s">
        <v>23</v>
      </c>
      <c r="D144" s="23" t="s">
        <v>25</v>
      </c>
      <c r="E144" s="41"/>
      <c r="F144" s="186"/>
      <c r="G144" s="187"/>
      <c r="H144" s="188"/>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78" t="s">
        <v>65</v>
      </c>
      <c r="B160" s="179"/>
      <c r="C160" s="179"/>
      <c r="D160" s="96">
        <f>SUM(Rehab_33[Amount])</f>
        <v>0</v>
      </c>
      <c r="E160" s="34"/>
      <c r="F160" s="173" t="s">
        <v>33</v>
      </c>
      <c r="G160" s="174"/>
      <c r="H160" s="174"/>
    </row>
    <row r="161" spans="6:8" x14ac:dyDescent="0.3">
      <c r="F161" s="173"/>
      <c r="G161" s="174"/>
      <c r="H161" s="174"/>
    </row>
  </sheetData>
  <sheetProtection algorithmName="SHA-512" hashValue="+LetR7Sr5Wyc9zsoexLVLYiy6D5rYtBuuGWsdavD8af3btU4AEaWIwBXjDksTPrrFJ8pdiPEp1MrJU6R2oh9Kw==" saltValue="xC1CzJmPbB5Egj3b0leH2w=="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N161"/>
  <sheetViews>
    <sheetView showGridLines="0" zoomScaleNormal="100" workbookViewId="0">
      <pane ySplit="9" topLeftCell="A115"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5" t="s">
        <v>24</v>
      </c>
      <c r="B1" s="175"/>
      <c r="C1" s="175"/>
      <c r="D1" s="175"/>
      <c r="E1" s="1"/>
      <c r="F1" s="2"/>
      <c r="G1" s="2"/>
      <c r="H1" s="1"/>
    </row>
    <row r="2" spans="1:14" ht="24.9" customHeight="1" x14ac:dyDescent="0.3">
      <c r="A2" s="176" t="s">
        <v>71</v>
      </c>
      <c r="B2" s="176"/>
      <c r="C2" s="176"/>
      <c r="D2" s="176"/>
      <c r="E2" s="4"/>
      <c r="F2" s="120"/>
      <c r="G2" s="120"/>
      <c r="H2" s="5"/>
    </row>
    <row r="3" spans="1:14" ht="31.5" customHeight="1" x14ac:dyDescent="0.3">
      <c r="A3" s="176"/>
      <c r="B3" s="176"/>
      <c r="C3" s="176"/>
      <c r="D3" s="176"/>
      <c r="E3" s="4"/>
      <c r="F3" s="120"/>
      <c r="G3" s="120"/>
      <c r="H3" s="5"/>
    </row>
    <row r="4" spans="1:14" ht="15" customHeight="1" x14ac:dyDescent="0.25">
      <c r="A4" s="75" t="s">
        <v>19</v>
      </c>
      <c r="B4" s="194" t="str">
        <f>IF('Summary Sheet'!B66="","",'Summary Sheet'!B66)</f>
        <v>1839 S AVERS AVE</v>
      </c>
      <c r="C4" s="194"/>
      <c r="D4" s="120"/>
      <c r="E4" s="4"/>
      <c r="F4" s="120"/>
      <c r="G4" s="120"/>
      <c r="H4" s="5"/>
    </row>
    <row r="5" spans="1:14" ht="15" customHeight="1" x14ac:dyDescent="0.25">
      <c r="A5" s="75" t="s">
        <v>20</v>
      </c>
      <c r="B5" s="195" t="str">
        <f>IF('Summary Sheet'!C66="","",'Summary Sheet'!C66)</f>
        <v/>
      </c>
      <c r="C5" s="195"/>
      <c r="D5" s="120"/>
      <c r="E5" s="4"/>
      <c r="F5" s="120"/>
      <c r="G5" s="120"/>
      <c r="H5" s="5"/>
    </row>
    <row r="6" spans="1:14" ht="15" customHeight="1" x14ac:dyDescent="0.25">
      <c r="A6" s="75" t="s">
        <v>36</v>
      </c>
      <c r="B6" s="177"/>
      <c r="C6" s="177"/>
      <c r="D6" s="6"/>
      <c r="E6" s="7"/>
    </row>
    <row r="7" spans="1:14" ht="15" customHeight="1" x14ac:dyDescent="0.25">
      <c r="A7" s="7"/>
      <c r="B7" s="196" t="s">
        <v>34</v>
      </c>
      <c r="C7" s="196"/>
      <c r="D7" s="10"/>
    </row>
    <row r="8" spans="1:14" ht="20.100000000000001" customHeight="1" x14ac:dyDescent="0.25">
      <c r="B8" s="11"/>
      <c r="C8" s="11"/>
      <c r="D8" s="12" t="s">
        <v>31</v>
      </c>
      <c r="F8" s="180" t="s">
        <v>32</v>
      </c>
      <c r="G8" s="181"/>
      <c r="H8" s="182"/>
    </row>
    <row r="9" spans="1:14" s="14" customFormat="1" ht="20.100000000000001" customHeight="1" x14ac:dyDescent="0.25">
      <c r="A9" s="197"/>
      <c r="B9" s="197"/>
      <c r="C9" s="197"/>
      <c r="D9" s="13">
        <f>SUM(D27,D46,D65,D84,D103,D122,D141,D160)</f>
        <v>21510</v>
      </c>
      <c r="F9" s="15" t="s">
        <v>28</v>
      </c>
      <c r="G9" s="15" t="s">
        <v>29</v>
      </c>
      <c r="H9" s="15" t="s">
        <v>30</v>
      </c>
      <c r="I9" s="16"/>
      <c r="J9" s="16"/>
      <c r="K9" s="16"/>
      <c r="L9" s="16"/>
      <c r="M9" s="16"/>
      <c r="N9" s="16"/>
    </row>
    <row r="10" spans="1:14" s="17" customFormat="1" ht="23.1" customHeight="1" x14ac:dyDescent="0.3">
      <c r="A10" s="198" t="s">
        <v>51</v>
      </c>
      <c r="B10" s="198"/>
      <c r="C10" s="198"/>
      <c r="D10" s="198"/>
      <c r="F10" s="183" t="s">
        <v>66</v>
      </c>
      <c r="G10" s="184"/>
      <c r="H10" s="185"/>
      <c r="I10" s="18"/>
      <c r="J10" s="18"/>
      <c r="K10" s="18"/>
      <c r="L10" s="18"/>
      <c r="M10" s="19"/>
      <c r="N10" s="20"/>
    </row>
    <row r="11" spans="1:14" s="24" customFormat="1" ht="12.75" customHeight="1" x14ac:dyDescent="0.25">
      <c r="A11" s="21" t="s">
        <v>21</v>
      </c>
      <c r="B11" s="22" t="s">
        <v>22</v>
      </c>
      <c r="C11" s="22" t="s">
        <v>23</v>
      </c>
      <c r="D11" s="23" t="s">
        <v>25</v>
      </c>
      <c r="F11" s="186"/>
      <c r="G11" s="187"/>
      <c r="H11" s="188"/>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78" t="s">
        <v>53</v>
      </c>
      <c r="B27" s="179"/>
      <c r="C27" s="179"/>
      <c r="D27" s="96">
        <f>SUM(Grass_34[Amount])</f>
        <v>0</v>
      </c>
      <c r="F27" s="173" t="s">
        <v>33</v>
      </c>
      <c r="G27" s="174"/>
      <c r="H27" s="174"/>
      <c r="I27" s="35"/>
      <c r="J27" s="35"/>
      <c r="K27" s="35"/>
      <c r="L27" s="35"/>
      <c r="M27" s="36"/>
      <c r="N27" s="37"/>
    </row>
    <row r="28" spans="1:14" s="40" customFormat="1" ht="11.1" customHeight="1" x14ac:dyDescent="0.3">
      <c r="A28" s="38"/>
      <c r="B28" s="38"/>
      <c r="C28" s="38"/>
      <c r="D28" s="39"/>
      <c r="F28" s="173"/>
      <c r="G28" s="174"/>
      <c r="H28" s="174"/>
      <c r="I28" s="35"/>
      <c r="J28" s="35"/>
      <c r="K28" s="35"/>
      <c r="L28" s="35"/>
      <c r="M28" s="36"/>
      <c r="N28" s="37"/>
    </row>
    <row r="29" spans="1:14" s="17" customFormat="1" ht="23.1" customHeight="1" x14ac:dyDescent="0.3">
      <c r="A29" s="191" t="s">
        <v>67</v>
      </c>
      <c r="B29" s="192"/>
      <c r="C29" s="192"/>
      <c r="D29" s="193"/>
      <c r="F29" s="183" t="s">
        <v>52</v>
      </c>
      <c r="G29" s="184"/>
      <c r="H29" s="185"/>
      <c r="I29" s="18"/>
      <c r="J29" s="18"/>
      <c r="K29" s="18"/>
      <c r="L29" s="18"/>
      <c r="M29" s="19"/>
      <c r="N29" s="20"/>
    </row>
    <row r="30" spans="1:14" s="41" customFormat="1" ht="12.75" customHeight="1" x14ac:dyDescent="0.25">
      <c r="A30" s="21" t="s">
        <v>21</v>
      </c>
      <c r="B30" s="22" t="s">
        <v>22</v>
      </c>
      <c r="C30" s="22" t="s">
        <v>23</v>
      </c>
      <c r="D30" s="23" t="s">
        <v>25</v>
      </c>
      <c r="F30" s="186"/>
      <c r="G30" s="187"/>
      <c r="H30" s="188"/>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19"/>
      <c r="J44" s="29"/>
      <c r="K44" s="29"/>
      <c r="L44" s="119"/>
      <c r="M44" s="30"/>
      <c r="N44" s="16"/>
    </row>
    <row r="45" spans="1:14" x14ac:dyDescent="0.3">
      <c r="A45" s="106"/>
      <c r="B45" s="107"/>
      <c r="C45" s="107"/>
      <c r="D45" s="114"/>
      <c r="F45" s="103"/>
      <c r="G45" s="104"/>
      <c r="H45" s="109"/>
      <c r="I45" s="119"/>
      <c r="J45" s="29"/>
      <c r="K45" s="29"/>
      <c r="L45" s="119"/>
      <c r="M45" s="30"/>
      <c r="N45" s="16"/>
    </row>
    <row r="46" spans="1:14" s="34" customFormat="1" x14ac:dyDescent="0.3">
      <c r="A46" s="178" t="s">
        <v>54</v>
      </c>
      <c r="B46" s="179"/>
      <c r="C46" s="179"/>
      <c r="D46" s="96">
        <f>SUM(Tree_34[Amount])</f>
        <v>0</v>
      </c>
      <c r="F46" s="173" t="s">
        <v>33</v>
      </c>
      <c r="G46" s="174"/>
      <c r="H46" s="174"/>
      <c r="I46" s="43"/>
      <c r="J46" s="43"/>
      <c r="K46" s="43"/>
      <c r="L46" s="43"/>
      <c r="M46" s="36"/>
      <c r="N46" s="37"/>
    </row>
    <row r="47" spans="1:14" s="40" customFormat="1" ht="11.1" customHeight="1" x14ac:dyDescent="0.3">
      <c r="A47" s="38"/>
      <c r="B47" s="38"/>
      <c r="C47" s="38"/>
      <c r="D47" s="39"/>
      <c r="F47" s="173"/>
      <c r="G47" s="174"/>
      <c r="H47" s="174"/>
      <c r="I47" s="43"/>
      <c r="J47" s="43"/>
      <c r="K47" s="43"/>
      <c r="L47" s="43"/>
      <c r="M47" s="36"/>
      <c r="N47" s="37"/>
    </row>
    <row r="48" spans="1:14" s="17" customFormat="1" ht="23.1" customHeight="1" x14ac:dyDescent="0.3">
      <c r="A48" s="191" t="s">
        <v>68</v>
      </c>
      <c r="B48" s="192"/>
      <c r="C48" s="192"/>
      <c r="D48" s="193"/>
      <c r="F48" s="183" t="s">
        <v>55</v>
      </c>
      <c r="G48" s="184"/>
      <c r="H48" s="185"/>
      <c r="I48" s="44"/>
      <c r="J48" s="44"/>
      <c r="K48" s="44"/>
      <c r="L48" s="44"/>
      <c r="M48" s="19"/>
      <c r="N48" s="20"/>
    </row>
    <row r="49" spans="1:14" s="41" customFormat="1" ht="12.75" customHeight="1" x14ac:dyDescent="0.25">
      <c r="A49" s="21" t="s">
        <v>21</v>
      </c>
      <c r="B49" s="22" t="s">
        <v>22</v>
      </c>
      <c r="C49" s="22" t="s">
        <v>23</v>
      </c>
      <c r="D49" s="23" t="s">
        <v>25</v>
      </c>
      <c r="F49" s="186"/>
      <c r="G49" s="187"/>
      <c r="H49" s="188"/>
      <c r="I49" s="119"/>
      <c r="J49" s="119"/>
      <c r="K49" s="119"/>
      <c r="L49" s="119"/>
      <c r="M49" s="30"/>
      <c r="N49" s="42"/>
    </row>
    <row r="50" spans="1:14" x14ac:dyDescent="0.3">
      <c r="A50" s="100"/>
      <c r="B50" s="101"/>
      <c r="C50" s="101"/>
      <c r="D50" s="112"/>
      <c r="F50" s="103"/>
      <c r="G50" s="104"/>
      <c r="H50" s="109"/>
      <c r="I50" s="119"/>
      <c r="J50" s="119"/>
      <c r="K50" s="119"/>
      <c r="L50" s="119"/>
      <c r="M50" s="30"/>
      <c r="N50" s="16"/>
    </row>
    <row r="51" spans="1:14" x14ac:dyDescent="0.3">
      <c r="A51" s="106"/>
      <c r="B51" s="107"/>
      <c r="C51" s="107"/>
      <c r="D51" s="113"/>
      <c r="F51" s="103"/>
      <c r="G51" s="104"/>
      <c r="H51" s="109"/>
      <c r="I51" s="119"/>
      <c r="J51" s="119"/>
      <c r="K51" s="119"/>
      <c r="L51" s="119"/>
      <c r="M51" s="30"/>
      <c r="N51" s="16"/>
    </row>
    <row r="52" spans="1:14" x14ac:dyDescent="0.3">
      <c r="A52" s="106"/>
      <c r="B52" s="107"/>
      <c r="C52" s="107"/>
      <c r="D52" s="114"/>
      <c r="F52" s="103"/>
      <c r="H52" s="109"/>
      <c r="I52" s="119"/>
      <c r="J52" s="119"/>
      <c r="K52" s="119"/>
      <c r="L52" s="119"/>
      <c r="M52" s="30"/>
      <c r="N52" s="16"/>
    </row>
    <row r="53" spans="1:14" x14ac:dyDescent="0.3">
      <c r="A53" s="106"/>
      <c r="B53" s="107"/>
      <c r="C53" s="107"/>
      <c r="D53" s="113"/>
      <c r="F53" s="103"/>
      <c r="G53" s="104"/>
      <c r="H53" s="109"/>
      <c r="I53" s="119"/>
      <c r="J53" s="119"/>
      <c r="K53" s="119"/>
      <c r="L53" s="119"/>
      <c r="M53" s="30"/>
      <c r="N53" s="16"/>
    </row>
    <row r="54" spans="1:14" x14ac:dyDescent="0.3">
      <c r="A54" s="106"/>
      <c r="B54" s="107"/>
      <c r="C54" s="107"/>
      <c r="D54" s="114"/>
      <c r="F54" s="103"/>
      <c r="G54" s="104"/>
      <c r="H54" s="109"/>
      <c r="I54" s="119"/>
      <c r="J54" s="119"/>
      <c r="K54" s="119"/>
      <c r="L54" s="119"/>
      <c r="M54" s="30"/>
      <c r="N54" s="16"/>
    </row>
    <row r="55" spans="1:14" x14ac:dyDescent="0.3">
      <c r="A55" s="106"/>
      <c r="B55" s="107"/>
      <c r="C55" s="107"/>
      <c r="D55" s="113"/>
      <c r="F55" s="103"/>
      <c r="G55" s="104"/>
      <c r="H55" s="109"/>
      <c r="I55" s="119"/>
      <c r="J55" s="119"/>
      <c r="K55" s="119"/>
      <c r="L55" s="119"/>
      <c r="M55" s="30"/>
      <c r="N55" s="16"/>
    </row>
    <row r="56" spans="1:14" x14ac:dyDescent="0.3">
      <c r="A56" s="106"/>
      <c r="B56" s="107"/>
      <c r="C56" s="107"/>
      <c r="D56" s="114"/>
      <c r="F56" s="103"/>
      <c r="G56" s="104"/>
      <c r="H56" s="109"/>
      <c r="I56" s="119"/>
      <c r="J56" s="119"/>
      <c r="K56" s="119"/>
      <c r="L56" s="119"/>
      <c r="M56" s="30"/>
      <c r="N56" s="16"/>
    </row>
    <row r="57" spans="1:14" x14ac:dyDescent="0.3">
      <c r="A57" s="106"/>
      <c r="B57" s="107"/>
      <c r="C57" s="107"/>
      <c r="D57" s="113"/>
      <c r="F57" s="103"/>
      <c r="G57" s="104"/>
      <c r="H57" s="109"/>
      <c r="I57" s="119"/>
      <c r="J57" s="119"/>
      <c r="K57" s="119"/>
      <c r="L57" s="119"/>
      <c r="M57" s="30"/>
      <c r="N57" s="16"/>
    </row>
    <row r="58" spans="1:14" x14ac:dyDescent="0.3">
      <c r="A58" s="106"/>
      <c r="B58" s="107"/>
      <c r="C58" s="107"/>
      <c r="D58" s="114"/>
      <c r="F58" s="103"/>
      <c r="G58" s="104"/>
      <c r="H58" s="109"/>
      <c r="I58" s="119"/>
      <c r="J58" s="119"/>
      <c r="K58" s="119"/>
      <c r="L58" s="119"/>
      <c r="M58" s="30"/>
      <c r="N58" s="16"/>
    </row>
    <row r="59" spans="1:14" x14ac:dyDescent="0.3">
      <c r="A59" s="106"/>
      <c r="B59" s="107"/>
      <c r="C59" s="107"/>
      <c r="D59" s="113"/>
      <c r="F59" s="103"/>
      <c r="G59" s="104"/>
      <c r="H59" s="109"/>
      <c r="I59" s="119"/>
      <c r="J59" s="190"/>
      <c r="K59" s="190"/>
      <c r="L59" s="119"/>
      <c r="M59" s="30"/>
      <c r="N59" s="16"/>
    </row>
    <row r="60" spans="1:14" x14ac:dyDescent="0.3">
      <c r="A60" s="106"/>
      <c r="B60" s="107"/>
      <c r="C60" s="107"/>
      <c r="D60" s="114"/>
      <c r="F60" s="103"/>
      <c r="G60" s="104"/>
      <c r="H60" s="109"/>
      <c r="I60" s="189"/>
      <c r="J60" s="189"/>
      <c r="K60" s="189"/>
      <c r="L60" s="189"/>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78" t="s">
        <v>56</v>
      </c>
      <c r="B65" s="179"/>
      <c r="C65" s="179"/>
      <c r="D65" s="96">
        <f>SUM(Pest_34[Amount])</f>
        <v>0</v>
      </c>
      <c r="F65" s="173" t="s">
        <v>33</v>
      </c>
      <c r="G65" s="174"/>
      <c r="H65" s="174"/>
    </row>
    <row r="66" spans="1:8" x14ac:dyDescent="0.3">
      <c r="F66" s="173"/>
      <c r="G66" s="174"/>
      <c r="H66" s="174"/>
    </row>
    <row r="67" spans="1:8" ht="17.399999999999999" x14ac:dyDescent="0.3">
      <c r="A67" s="198" t="s">
        <v>69</v>
      </c>
      <c r="B67" s="198"/>
      <c r="C67" s="198"/>
      <c r="D67" s="198"/>
      <c r="E67" s="17"/>
      <c r="F67" s="183" t="s">
        <v>57</v>
      </c>
      <c r="G67" s="184"/>
      <c r="H67" s="185"/>
    </row>
    <row r="68" spans="1:8" x14ac:dyDescent="0.3">
      <c r="A68" s="21" t="s">
        <v>21</v>
      </c>
      <c r="B68" s="22" t="s">
        <v>22</v>
      </c>
      <c r="C68" s="22" t="s">
        <v>23</v>
      </c>
      <c r="D68" s="23" t="s">
        <v>25</v>
      </c>
      <c r="E68" s="24"/>
      <c r="F68" s="186"/>
      <c r="G68" s="187"/>
      <c r="H68" s="188"/>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78" t="s">
        <v>58</v>
      </c>
      <c r="B84" s="179"/>
      <c r="C84" s="179"/>
      <c r="D84" s="96">
        <f>SUM(Garbage_34[Amount])</f>
        <v>0</v>
      </c>
      <c r="E84" s="34"/>
      <c r="F84" s="173" t="s">
        <v>33</v>
      </c>
      <c r="G84" s="174"/>
      <c r="H84" s="174"/>
    </row>
    <row r="85" spans="1:8" x14ac:dyDescent="0.3">
      <c r="A85" s="38"/>
      <c r="B85" s="38"/>
      <c r="C85" s="38"/>
      <c r="D85" s="39"/>
      <c r="E85" s="40"/>
      <c r="F85" s="173"/>
      <c r="G85" s="174"/>
      <c r="H85" s="174"/>
    </row>
    <row r="86" spans="1:8" ht="17.399999999999999" x14ac:dyDescent="0.3">
      <c r="A86" s="191" t="s">
        <v>59</v>
      </c>
      <c r="B86" s="192"/>
      <c r="C86" s="192"/>
      <c r="D86" s="193"/>
      <c r="E86" s="17"/>
      <c r="F86" s="183" t="s">
        <v>60</v>
      </c>
      <c r="G86" s="184"/>
      <c r="H86" s="185"/>
    </row>
    <row r="87" spans="1:8" x14ac:dyDescent="0.3">
      <c r="A87" s="21" t="s">
        <v>21</v>
      </c>
      <c r="B87" s="22" t="s">
        <v>22</v>
      </c>
      <c r="C87" s="22" t="s">
        <v>23</v>
      </c>
      <c r="D87" s="23" t="s">
        <v>25</v>
      </c>
      <c r="E87" s="41"/>
      <c r="F87" s="186"/>
      <c r="G87" s="187"/>
      <c r="H87" s="188"/>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78" t="s">
        <v>61</v>
      </c>
      <c r="B103" s="179"/>
      <c r="C103" s="179"/>
      <c r="D103" s="96">
        <f>SUM(Boarding_34[Amount])</f>
        <v>0</v>
      </c>
      <c r="E103" s="34"/>
      <c r="F103" s="173" t="s">
        <v>33</v>
      </c>
      <c r="G103" s="174"/>
      <c r="H103" s="174"/>
    </row>
    <row r="104" spans="1:8" x14ac:dyDescent="0.3">
      <c r="A104" s="38"/>
      <c r="B104" s="38"/>
      <c r="C104" s="38"/>
      <c r="D104" s="39"/>
      <c r="E104" s="40"/>
      <c r="F104" s="173"/>
      <c r="G104" s="174"/>
      <c r="H104" s="174"/>
    </row>
    <row r="105" spans="1:8" ht="17.399999999999999" x14ac:dyDescent="0.3">
      <c r="A105" s="191" t="s">
        <v>70</v>
      </c>
      <c r="B105" s="192"/>
      <c r="C105" s="192"/>
      <c r="D105" s="193"/>
      <c r="E105" s="17"/>
      <c r="F105" s="183" t="s">
        <v>62</v>
      </c>
      <c r="G105" s="184"/>
      <c r="H105" s="185"/>
    </row>
    <row r="106" spans="1:8" x14ac:dyDescent="0.3">
      <c r="A106" s="21" t="s">
        <v>21</v>
      </c>
      <c r="B106" s="22" t="s">
        <v>22</v>
      </c>
      <c r="C106" s="22" t="s">
        <v>23</v>
      </c>
      <c r="D106" s="23" t="s">
        <v>25</v>
      </c>
      <c r="E106" s="41"/>
      <c r="F106" s="186"/>
      <c r="G106" s="187"/>
      <c r="H106" s="188"/>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78" t="s">
        <v>63</v>
      </c>
      <c r="B122" s="179"/>
      <c r="C122" s="179"/>
      <c r="D122" s="96">
        <f>SUM(Fence_34[Amount])</f>
        <v>0</v>
      </c>
      <c r="E122" s="34"/>
      <c r="F122" s="173" t="s">
        <v>33</v>
      </c>
      <c r="G122" s="174"/>
      <c r="H122" s="174"/>
    </row>
    <row r="123" spans="1:8" x14ac:dyDescent="0.3">
      <c r="F123" s="173"/>
      <c r="G123" s="174"/>
      <c r="H123" s="174"/>
    </row>
    <row r="124" spans="1:8" ht="17.399999999999999" x14ac:dyDescent="0.3">
      <c r="A124" s="191" t="s">
        <v>26</v>
      </c>
      <c r="B124" s="192"/>
      <c r="C124" s="192"/>
      <c r="D124" s="193"/>
      <c r="E124" s="17"/>
      <c r="F124" s="183" t="s">
        <v>11</v>
      </c>
      <c r="G124" s="184"/>
      <c r="H124" s="185"/>
    </row>
    <row r="125" spans="1:8" x14ac:dyDescent="0.3">
      <c r="A125" s="21" t="s">
        <v>21</v>
      </c>
      <c r="B125" s="22" t="s">
        <v>22</v>
      </c>
      <c r="C125" s="22" t="s">
        <v>23</v>
      </c>
      <c r="D125" s="23" t="s">
        <v>25</v>
      </c>
      <c r="E125" s="41"/>
      <c r="F125" s="186"/>
      <c r="G125" s="187"/>
      <c r="H125" s="188"/>
    </row>
    <row r="126" spans="1:8" x14ac:dyDescent="0.3">
      <c r="A126" s="100"/>
      <c r="B126" s="101"/>
      <c r="C126" s="101"/>
      <c r="D126" s="112">
        <v>21510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78" t="s">
        <v>27</v>
      </c>
      <c r="B141" s="179"/>
      <c r="C141" s="179"/>
      <c r="D141" s="96">
        <f>SUM(Demolition_34[Amount])</f>
        <v>21510</v>
      </c>
      <c r="E141" s="34"/>
      <c r="F141" s="173" t="s">
        <v>33</v>
      </c>
      <c r="G141" s="174"/>
      <c r="H141" s="174"/>
    </row>
    <row r="142" spans="1:8" x14ac:dyDescent="0.3">
      <c r="A142" s="38"/>
      <c r="B142" s="38"/>
      <c r="C142" s="38"/>
      <c r="D142" s="39"/>
      <c r="E142" s="40"/>
      <c r="F142" s="173"/>
      <c r="G142" s="174"/>
      <c r="H142" s="174"/>
    </row>
    <row r="143" spans="1:8" ht="17.399999999999999" x14ac:dyDescent="0.3">
      <c r="A143" s="191" t="s">
        <v>64</v>
      </c>
      <c r="B143" s="192"/>
      <c r="C143" s="192"/>
      <c r="D143" s="193"/>
      <c r="E143" s="17"/>
      <c r="F143" s="183" t="s">
        <v>44</v>
      </c>
      <c r="G143" s="184"/>
      <c r="H143" s="185"/>
    </row>
    <row r="144" spans="1:8" x14ac:dyDescent="0.3">
      <c r="A144" s="21" t="s">
        <v>21</v>
      </c>
      <c r="B144" s="22" t="s">
        <v>22</v>
      </c>
      <c r="C144" s="22" t="s">
        <v>23</v>
      </c>
      <c r="D144" s="23" t="s">
        <v>25</v>
      </c>
      <c r="E144" s="41"/>
      <c r="F144" s="186"/>
      <c r="G144" s="187"/>
      <c r="H144" s="188"/>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78" t="s">
        <v>65</v>
      </c>
      <c r="B160" s="179"/>
      <c r="C160" s="179"/>
      <c r="D160" s="96">
        <f>SUM(Rehab_34[Amount])</f>
        <v>0</v>
      </c>
      <c r="E160" s="34"/>
      <c r="F160" s="173" t="s">
        <v>33</v>
      </c>
      <c r="G160" s="174"/>
      <c r="H160" s="174"/>
    </row>
    <row r="161" spans="6:8" x14ac:dyDescent="0.3">
      <c r="F161" s="173"/>
      <c r="G161" s="174"/>
      <c r="H161" s="174"/>
    </row>
  </sheetData>
  <sheetProtection algorithmName="SHA-512" hashValue="ePHoQ8Z2o/+2uXbjL2YWSGZYiRu4YgkNPFR0Ighkpeau7Pu8riVYV/jLvWlkxTsKtr6BWaCJ5K/iqwxuDL8uJw==" saltValue="FQn9HP55xzluWVwtuJ+JUA=="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N161"/>
  <sheetViews>
    <sheetView showGridLines="0" zoomScaleNormal="100" workbookViewId="0">
      <pane ySplit="9" topLeftCell="A115"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5" t="s">
        <v>24</v>
      </c>
      <c r="B1" s="175"/>
      <c r="C1" s="175"/>
      <c r="D1" s="175"/>
      <c r="E1" s="1"/>
      <c r="F1" s="2"/>
      <c r="G1" s="2"/>
      <c r="H1" s="1"/>
    </row>
    <row r="2" spans="1:14" ht="24.9" customHeight="1" x14ac:dyDescent="0.3">
      <c r="A2" s="176" t="s">
        <v>71</v>
      </c>
      <c r="B2" s="176"/>
      <c r="C2" s="176"/>
      <c r="D2" s="176"/>
      <c r="E2" s="4"/>
      <c r="F2" s="120"/>
      <c r="G2" s="120"/>
      <c r="H2" s="5"/>
    </row>
    <row r="3" spans="1:14" ht="31.5" customHeight="1" x14ac:dyDescent="0.3">
      <c r="A3" s="176"/>
      <c r="B3" s="176"/>
      <c r="C3" s="176"/>
      <c r="D3" s="176"/>
      <c r="E3" s="4"/>
      <c r="F3" s="120"/>
      <c r="G3" s="120"/>
      <c r="H3" s="5"/>
    </row>
    <row r="4" spans="1:14" ht="15" customHeight="1" x14ac:dyDescent="0.25">
      <c r="A4" s="75" t="s">
        <v>19</v>
      </c>
      <c r="B4" s="194" t="str">
        <f>IF('Summary Sheet'!B67="","",'Summary Sheet'!B67)</f>
        <v>1845 S SPAULDING AVE</v>
      </c>
      <c r="C4" s="194"/>
      <c r="D4" s="120"/>
      <c r="E4" s="4"/>
      <c r="F4" s="120"/>
      <c r="G4" s="120"/>
      <c r="H4" s="5"/>
    </row>
    <row r="5" spans="1:14" ht="15" customHeight="1" x14ac:dyDescent="0.25">
      <c r="A5" s="75" t="s">
        <v>20</v>
      </c>
      <c r="B5" s="195" t="str">
        <f>IF('Summary Sheet'!C67="","",'Summary Sheet'!C67)</f>
        <v/>
      </c>
      <c r="C5" s="195"/>
      <c r="D5" s="120"/>
      <c r="E5" s="4"/>
      <c r="F5" s="120"/>
      <c r="G5" s="120"/>
      <c r="H5" s="5"/>
    </row>
    <row r="6" spans="1:14" ht="15" customHeight="1" x14ac:dyDescent="0.25">
      <c r="A6" s="75" t="s">
        <v>36</v>
      </c>
      <c r="B6" s="177"/>
      <c r="C6" s="177"/>
      <c r="D6" s="6"/>
      <c r="E6" s="7"/>
    </row>
    <row r="7" spans="1:14" ht="15" customHeight="1" x14ac:dyDescent="0.25">
      <c r="A7" s="7"/>
      <c r="B7" s="196" t="s">
        <v>34</v>
      </c>
      <c r="C7" s="196"/>
      <c r="D7" s="10"/>
    </row>
    <row r="8" spans="1:14" ht="20.100000000000001" customHeight="1" x14ac:dyDescent="0.25">
      <c r="B8" s="11"/>
      <c r="C8" s="11"/>
      <c r="D8" s="12" t="s">
        <v>31</v>
      </c>
      <c r="F8" s="180" t="s">
        <v>32</v>
      </c>
      <c r="G8" s="181"/>
      <c r="H8" s="182"/>
    </row>
    <row r="9" spans="1:14" s="14" customFormat="1" ht="20.100000000000001" customHeight="1" x14ac:dyDescent="0.25">
      <c r="A9" s="197"/>
      <c r="B9" s="197"/>
      <c r="C9" s="197"/>
      <c r="D9" s="13">
        <f>SUM(D27,D46,D65,D84,D103,D122,D141,D160)</f>
        <v>28510</v>
      </c>
      <c r="F9" s="15" t="s">
        <v>28</v>
      </c>
      <c r="G9" s="15" t="s">
        <v>29</v>
      </c>
      <c r="H9" s="15" t="s">
        <v>30</v>
      </c>
      <c r="I9" s="16"/>
      <c r="J9" s="16"/>
      <c r="K9" s="16"/>
      <c r="L9" s="16"/>
      <c r="M9" s="16"/>
      <c r="N9" s="16"/>
    </row>
    <row r="10" spans="1:14" s="17" customFormat="1" ht="23.1" customHeight="1" x14ac:dyDescent="0.3">
      <c r="A10" s="198" t="s">
        <v>51</v>
      </c>
      <c r="B10" s="198"/>
      <c r="C10" s="198"/>
      <c r="D10" s="198"/>
      <c r="F10" s="183" t="s">
        <v>66</v>
      </c>
      <c r="G10" s="184"/>
      <c r="H10" s="185"/>
      <c r="I10" s="18"/>
      <c r="J10" s="18"/>
      <c r="K10" s="18"/>
      <c r="L10" s="18"/>
      <c r="M10" s="19"/>
      <c r="N10" s="20"/>
    </row>
    <row r="11" spans="1:14" s="24" customFormat="1" ht="12.75" customHeight="1" x14ac:dyDescent="0.25">
      <c r="A11" s="21" t="s">
        <v>21</v>
      </c>
      <c r="B11" s="22" t="s">
        <v>22</v>
      </c>
      <c r="C11" s="22" t="s">
        <v>23</v>
      </c>
      <c r="D11" s="23" t="s">
        <v>25</v>
      </c>
      <c r="F11" s="186"/>
      <c r="G11" s="187"/>
      <c r="H11" s="188"/>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78" t="s">
        <v>53</v>
      </c>
      <c r="B27" s="179"/>
      <c r="C27" s="179"/>
      <c r="D27" s="96">
        <f>SUM(Grass_35[Amount])</f>
        <v>0</v>
      </c>
      <c r="F27" s="173" t="s">
        <v>33</v>
      </c>
      <c r="G27" s="174"/>
      <c r="H27" s="174"/>
      <c r="I27" s="35"/>
      <c r="J27" s="35"/>
      <c r="K27" s="35"/>
      <c r="L27" s="35"/>
      <c r="M27" s="36"/>
      <c r="N27" s="37"/>
    </row>
    <row r="28" spans="1:14" s="40" customFormat="1" ht="11.1" customHeight="1" x14ac:dyDescent="0.3">
      <c r="A28" s="38"/>
      <c r="B28" s="38"/>
      <c r="C28" s="38"/>
      <c r="D28" s="39"/>
      <c r="F28" s="173"/>
      <c r="G28" s="174"/>
      <c r="H28" s="174"/>
      <c r="I28" s="35"/>
      <c r="J28" s="35"/>
      <c r="K28" s="35"/>
      <c r="L28" s="35"/>
      <c r="M28" s="36"/>
      <c r="N28" s="37"/>
    </row>
    <row r="29" spans="1:14" s="17" customFormat="1" ht="23.1" customHeight="1" x14ac:dyDescent="0.3">
      <c r="A29" s="191" t="s">
        <v>67</v>
      </c>
      <c r="B29" s="192"/>
      <c r="C29" s="192"/>
      <c r="D29" s="193"/>
      <c r="F29" s="183" t="s">
        <v>52</v>
      </c>
      <c r="G29" s="184"/>
      <c r="H29" s="185"/>
      <c r="I29" s="18"/>
      <c r="J29" s="18"/>
      <c r="K29" s="18"/>
      <c r="L29" s="18"/>
      <c r="M29" s="19"/>
      <c r="N29" s="20"/>
    </row>
    <row r="30" spans="1:14" s="41" customFormat="1" ht="12.75" customHeight="1" x14ac:dyDescent="0.25">
      <c r="A30" s="21" t="s">
        <v>21</v>
      </c>
      <c r="B30" s="22" t="s">
        <v>22</v>
      </c>
      <c r="C30" s="22" t="s">
        <v>23</v>
      </c>
      <c r="D30" s="23" t="s">
        <v>25</v>
      </c>
      <c r="F30" s="186"/>
      <c r="G30" s="187"/>
      <c r="H30" s="188"/>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19"/>
      <c r="J44" s="29"/>
      <c r="K44" s="29"/>
      <c r="L44" s="119"/>
      <c r="M44" s="30"/>
      <c r="N44" s="16"/>
    </row>
    <row r="45" spans="1:14" x14ac:dyDescent="0.3">
      <c r="A45" s="106"/>
      <c r="B45" s="107"/>
      <c r="C45" s="107"/>
      <c r="D45" s="114"/>
      <c r="F45" s="103"/>
      <c r="G45" s="104"/>
      <c r="H45" s="109"/>
      <c r="I45" s="119"/>
      <c r="J45" s="29"/>
      <c r="K45" s="29"/>
      <c r="L45" s="119"/>
      <c r="M45" s="30"/>
      <c r="N45" s="16"/>
    </row>
    <row r="46" spans="1:14" s="34" customFormat="1" x14ac:dyDescent="0.3">
      <c r="A46" s="178" t="s">
        <v>54</v>
      </c>
      <c r="B46" s="179"/>
      <c r="C46" s="179"/>
      <c r="D46" s="96">
        <f>SUM(Tree_35[Amount])</f>
        <v>0</v>
      </c>
      <c r="F46" s="173" t="s">
        <v>33</v>
      </c>
      <c r="G46" s="174"/>
      <c r="H46" s="174"/>
      <c r="I46" s="43"/>
      <c r="J46" s="43"/>
      <c r="K46" s="43"/>
      <c r="L46" s="43"/>
      <c r="M46" s="36"/>
      <c r="N46" s="37"/>
    </row>
    <row r="47" spans="1:14" s="40" customFormat="1" ht="11.1" customHeight="1" x14ac:dyDescent="0.3">
      <c r="A47" s="38"/>
      <c r="B47" s="38"/>
      <c r="C47" s="38"/>
      <c r="D47" s="39"/>
      <c r="F47" s="173"/>
      <c r="G47" s="174"/>
      <c r="H47" s="174"/>
      <c r="I47" s="43"/>
      <c r="J47" s="43"/>
      <c r="K47" s="43"/>
      <c r="L47" s="43"/>
      <c r="M47" s="36"/>
      <c r="N47" s="37"/>
    </row>
    <row r="48" spans="1:14" s="17" customFormat="1" ht="23.1" customHeight="1" x14ac:dyDescent="0.3">
      <c r="A48" s="191" t="s">
        <v>68</v>
      </c>
      <c r="B48" s="192"/>
      <c r="C48" s="192"/>
      <c r="D48" s="193"/>
      <c r="F48" s="183" t="s">
        <v>55</v>
      </c>
      <c r="G48" s="184"/>
      <c r="H48" s="185"/>
      <c r="I48" s="44"/>
      <c r="J48" s="44"/>
      <c r="K48" s="44"/>
      <c r="L48" s="44"/>
      <c r="M48" s="19"/>
      <c r="N48" s="20"/>
    </row>
    <row r="49" spans="1:14" s="41" customFormat="1" ht="12.75" customHeight="1" x14ac:dyDescent="0.25">
      <c r="A49" s="21" t="s">
        <v>21</v>
      </c>
      <c r="B49" s="22" t="s">
        <v>22</v>
      </c>
      <c r="C49" s="22" t="s">
        <v>23</v>
      </c>
      <c r="D49" s="23" t="s">
        <v>25</v>
      </c>
      <c r="F49" s="186"/>
      <c r="G49" s="187"/>
      <c r="H49" s="188"/>
      <c r="I49" s="119"/>
      <c r="J49" s="119"/>
      <c r="K49" s="119"/>
      <c r="L49" s="119"/>
      <c r="M49" s="30"/>
      <c r="N49" s="42"/>
    </row>
    <row r="50" spans="1:14" x14ac:dyDescent="0.3">
      <c r="A50" s="100"/>
      <c r="B50" s="101"/>
      <c r="C50" s="101"/>
      <c r="D50" s="112"/>
      <c r="F50" s="103"/>
      <c r="G50" s="104"/>
      <c r="H50" s="109"/>
      <c r="I50" s="119"/>
      <c r="J50" s="119"/>
      <c r="K50" s="119"/>
      <c r="L50" s="119"/>
      <c r="M50" s="30"/>
      <c r="N50" s="16"/>
    </row>
    <row r="51" spans="1:14" x14ac:dyDescent="0.3">
      <c r="A51" s="106"/>
      <c r="B51" s="107"/>
      <c r="C51" s="107"/>
      <c r="D51" s="113"/>
      <c r="F51" s="103"/>
      <c r="G51" s="104"/>
      <c r="H51" s="109"/>
      <c r="I51" s="119"/>
      <c r="J51" s="119"/>
      <c r="K51" s="119"/>
      <c r="L51" s="119"/>
      <c r="M51" s="30"/>
      <c r="N51" s="16"/>
    </row>
    <row r="52" spans="1:14" x14ac:dyDescent="0.3">
      <c r="A52" s="106"/>
      <c r="B52" s="107"/>
      <c r="C52" s="107"/>
      <c r="D52" s="114"/>
      <c r="F52" s="103"/>
      <c r="H52" s="109"/>
      <c r="I52" s="119"/>
      <c r="J52" s="119"/>
      <c r="K52" s="119"/>
      <c r="L52" s="119"/>
      <c r="M52" s="30"/>
      <c r="N52" s="16"/>
    </row>
    <row r="53" spans="1:14" x14ac:dyDescent="0.3">
      <c r="A53" s="106"/>
      <c r="B53" s="107"/>
      <c r="C53" s="107"/>
      <c r="D53" s="113"/>
      <c r="F53" s="103"/>
      <c r="G53" s="104"/>
      <c r="H53" s="109"/>
      <c r="I53" s="119"/>
      <c r="J53" s="119"/>
      <c r="K53" s="119"/>
      <c r="L53" s="119"/>
      <c r="M53" s="30"/>
      <c r="N53" s="16"/>
    </row>
    <row r="54" spans="1:14" x14ac:dyDescent="0.3">
      <c r="A54" s="106"/>
      <c r="B54" s="107"/>
      <c r="C54" s="107"/>
      <c r="D54" s="114"/>
      <c r="F54" s="103"/>
      <c r="G54" s="104"/>
      <c r="H54" s="109"/>
      <c r="I54" s="119"/>
      <c r="J54" s="119"/>
      <c r="K54" s="119"/>
      <c r="L54" s="119"/>
      <c r="M54" s="30"/>
      <c r="N54" s="16"/>
    </row>
    <row r="55" spans="1:14" x14ac:dyDescent="0.3">
      <c r="A55" s="106"/>
      <c r="B55" s="107"/>
      <c r="C55" s="107"/>
      <c r="D55" s="113"/>
      <c r="F55" s="103"/>
      <c r="G55" s="104"/>
      <c r="H55" s="109"/>
      <c r="I55" s="119"/>
      <c r="J55" s="119"/>
      <c r="K55" s="119"/>
      <c r="L55" s="119"/>
      <c r="M55" s="30"/>
      <c r="N55" s="16"/>
    </row>
    <row r="56" spans="1:14" x14ac:dyDescent="0.3">
      <c r="A56" s="106"/>
      <c r="B56" s="107"/>
      <c r="C56" s="107"/>
      <c r="D56" s="114"/>
      <c r="F56" s="103"/>
      <c r="G56" s="104"/>
      <c r="H56" s="109"/>
      <c r="I56" s="119"/>
      <c r="J56" s="119"/>
      <c r="K56" s="119"/>
      <c r="L56" s="119"/>
      <c r="M56" s="30"/>
      <c r="N56" s="16"/>
    </row>
    <row r="57" spans="1:14" x14ac:dyDescent="0.3">
      <c r="A57" s="106"/>
      <c r="B57" s="107"/>
      <c r="C57" s="107"/>
      <c r="D57" s="113"/>
      <c r="F57" s="103"/>
      <c r="G57" s="104"/>
      <c r="H57" s="109"/>
      <c r="I57" s="119"/>
      <c r="J57" s="119"/>
      <c r="K57" s="119"/>
      <c r="L57" s="119"/>
      <c r="M57" s="30"/>
      <c r="N57" s="16"/>
    </row>
    <row r="58" spans="1:14" x14ac:dyDescent="0.3">
      <c r="A58" s="106"/>
      <c r="B58" s="107"/>
      <c r="C58" s="107"/>
      <c r="D58" s="114"/>
      <c r="F58" s="103"/>
      <c r="G58" s="104"/>
      <c r="H58" s="109"/>
      <c r="I58" s="119"/>
      <c r="J58" s="119"/>
      <c r="K58" s="119"/>
      <c r="L58" s="119"/>
      <c r="M58" s="30"/>
      <c r="N58" s="16"/>
    </row>
    <row r="59" spans="1:14" x14ac:dyDescent="0.3">
      <c r="A59" s="106"/>
      <c r="B59" s="107"/>
      <c r="C59" s="107"/>
      <c r="D59" s="113"/>
      <c r="F59" s="103"/>
      <c r="G59" s="104"/>
      <c r="H59" s="109"/>
      <c r="I59" s="119"/>
      <c r="J59" s="190"/>
      <c r="K59" s="190"/>
      <c r="L59" s="119"/>
      <c r="M59" s="30"/>
      <c r="N59" s="16"/>
    </row>
    <row r="60" spans="1:14" x14ac:dyDescent="0.3">
      <c r="A60" s="106"/>
      <c r="B60" s="107"/>
      <c r="C60" s="107"/>
      <c r="D60" s="114"/>
      <c r="F60" s="103"/>
      <c r="G60" s="104"/>
      <c r="H60" s="109"/>
      <c r="I60" s="189"/>
      <c r="J60" s="189"/>
      <c r="K60" s="189"/>
      <c r="L60" s="189"/>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78" t="s">
        <v>56</v>
      </c>
      <c r="B65" s="179"/>
      <c r="C65" s="179"/>
      <c r="D65" s="96">
        <f>SUM(Pest_35[Amount])</f>
        <v>0</v>
      </c>
      <c r="F65" s="173" t="s">
        <v>33</v>
      </c>
      <c r="G65" s="174"/>
      <c r="H65" s="174"/>
    </row>
    <row r="66" spans="1:8" x14ac:dyDescent="0.3">
      <c r="F66" s="173"/>
      <c r="G66" s="174"/>
      <c r="H66" s="174"/>
    </row>
    <row r="67" spans="1:8" ht="17.399999999999999" x14ac:dyDescent="0.3">
      <c r="A67" s="198" t="s">
        <v>69</v>
      </c>
      <c r="B67" s="198"/>
      <c r="C67" s="198"/>
      <c r="D67" s="198"/>
      <c r="E67" s="17"/>
      <c r="F67" s="183" t="s">
        <v>57</v>
      </c>
      <c r="G67" s="184"/>
      <c r="H67" s="185"/>
    </row>
    <row r="68" spans="1:8" x14ac:dyDescent="0.3">
      <c r="A68" s="21" t="s">
        <v>21</v>
      </c>
      <c r="B68" s="22" t="s">
        <v>22</v>
      </c>
      <c r="C68" s="22" t="s">
        <v>23</v>
      </c>
      <c r="D68" s="23" t="s">
        <v>25</v>
      </c>
      <c r="E68" s="24"/>
      <c r="F68" s="186"/>
      <c r="G68" s="187"/>
      <c r="H68" s="188"/>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78" t="s">
        <v>58</v>
      </c>
      <c r="B84" s="179"/>
      <c r="C84" s="179"/>
      <c r="D84" s="96">
        <f>SUM(Garbage_35[Amount])</f>
        <v>0</v>
      </c>
      <c r="E84" s="34"/>
      <c r="F84" s="173" t="s">
        <v>33</v>
      </c>
      <c r="G84" s="174"/>
      <c r="H84" s="174"/>
    </row>
    <row r="85" spans="1:8" x14ac:dyDescent="0.3">
      <c r="A85" s="38"/>
      <c r="B85" s="38"/>
      <c r="C85" s="38"/>
      <c r="D85" s="39"/>
      <c r="E85" s="40"/>
      <c r="F85" s="173"/>
      <c r="G85" s="174"/>
      <c r="H85" s="174"/>
    </row>
    <row r="86" spans="1:8" ht="17.399999999999999" x14ac:dyDescent="0.3">
      <c r="A86" s="191" t="s">
        <v>59</v>
      </c>
      <c r="B86" s="192"/>
      <c r="C86" s="192"/>
      <c r="D86" s="193"/>
      <c r="E86" s="17"/>
      <c r="F86" s="183" t="s">
        <v>60</v>
      </c>
      <c r="G86" s="184"/>
      <c r="H86" s="185"/>
    </row>
    <row r="87" spans="1:8" x14ac:dyDescent="0.3">
      <c r="A87" s="21" t="s">
        <v>21</v>
      </c>
      <c r="B87" s="22" t="s">
        <v>22</v>
      </c>
      <c r="C87" s="22" t="s">
        <v>23</v>
      </c>
      <c r="D87" s="23" t="s">
        <v>25</v>
      </c>
      <c r="E87" s="41"/>
      <c r="F87" s="186"/>
      <c r="G87" s="187"/>
      <c r="H87" s="188"/>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78" t="s">
        <v>61</v>
      </c>
      <c r="B103" s="179"/>
      <c r="C103" s="179"/>
      <c r="D103" s="96">
        <f>SUM(Boarding_35[Amount])</f>
        <v>0</v>
      </c>
      <c r="E103" s="34"/>
      <c r="F103" s="173" t="s">
        <v>33</v>
      </c>
      <c r="G103" s="174"/>
      <c r="H103" s="174"/>
    </row>
    <row r="104" spans="1:8" x14ac:dyDescent="0.3">
      <c r="A104" s="38"/>
      <c r="B104" s="38"/>
      <c r="C104" s="38"/>
      <c r="D104" s="39"/>
      <c r="E104" s="40"/>
      <c r="F104" s="173"/>
      <c r="G104" s="174"/>
      <c r="H104" s="174"/>
    </row>
    <row r="105" spans="1:8" ht="17.399999999999999" x14ac:dyDescent="0.3">
      <c r="A105" s="191" t="s">
        <v>70</v>
      </c>
      <c r="B105" s="192"/>
      <c r="C105" s="192"/>
      <c r="D105" s="193"/>
      <c r="E105" s="17"/>
      <c r="F105" s="183" t="s">
        <v>62</v>
      </c>
      <c r="G105" s="184"/>
      <c r="H105" s="185"/>
    </row>
    <row r="106" spans="1:8" x14ac:dyDescent="0.3">
      <c r="A106" s="21" t="s">
        <v>21</v>
      </c>
      <c r="B106" s="22" t="s">
        <v>22</v>
      </c>
      <c r="C106" s="22" t="s">
        <v>23</v>
      </c>
      <c r="D106" s="23" t="s">
        <v>25</v>
      </c>
      <c r="E106" s="41"/>
      <c r="F106" s="186"/>
      <c r="G106" s="187"/>
      <c r="H106" s="188"/>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78" t="s">
        <v>63</v>
      </c>
      <c r="B122" s="179"/>
      <c r="C122" s="179"/>
      <c r="D122" s="96">
        <f>SUM(Fence_35[Amount])</f>
        <v>0</v>
      </c>
      <c r="E122" s="34"/>
      <c r="F122" s="173" t="s">
        <v>33</v>
      </c>
      <c r="G122" s="174"/>
      <c r="H122" s="174"/>
    </row>
    <row r="123" spans="1:8" x14ac:dyDescent="0.3">
      <c r="F123" s="173"/>
      <c r="G123" s="174"/>
      <c r="H123" s="174"/>
    </row>
    <row r="124" spans="1:8" ht="17.399999999999999" x14ac:dyDescent="0.3">
      <c r="A124" s="191" t="s">
        <v>26</v>
      </c>
      <c r="B124" s="192"/>
      <c r="C124" s="192"/>
      <c r="D124" s="193"/>
      <c r="E124" s="17"/>
      <c r="F124" s="183" t="s">
        <v>11</v>
      </c>
      <c r="G124" s="184"/>
      <c r="H124" s="185"/>
    </row>
    <row r="125" spans="1:8" x14ac:dyDescent="0.3">
      <c r="A125" s="21" t="s">
        <v>21</v>
      </c>
      <c r="B125" s="22" t="s">
        <v>22</v>
      </c>
      <c r="C125" s="22" t="s">
        <v>23</v>
      </c>
      <c r="D125" s="23" t="s">
        <v>25</v>
      </c>
      <c r="E125" s="41"/>
      <c r="F125" s="186"/>
      <c r="G125" s="187"/>
      <c r="H125" s="188"/>
    </row>
    <row r="126" spans="1:8" x14ac:dyDescent="0.3">
      <c r="A126" s="100"/>
      <c r="B126" s="101"/>
      <c r="C126" s="101"/>
      <c r="D126" s="112">
        <v>28510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78" t="s">
        <v>27</v>
      </c>
      <c r="B141" s="179"/>
      <c r="C141" s="179"/>
      <c r="D141" s="96">
        <f>SUM(Demolition_35[Amount])</f>
        <v>28510</v>
      </c>
      <c r="E141" s="34"/>
      <c r="F141" s="173" t="s">
        <v>33</v>
      </c>
      <c r="G141" s="174"/>
      <c r="H141" s="174"/>
    </row>
    <row r="142" spans="1:8" x14ac:dyDescent="0.3">
      <c r="A142" s="38"/>
      <c r="B142" s="38"/>
      <c r="C142" s="38"/>
      <c r="D142" s="39"/>
      <c r="E142" s="40"/>
      <c r="F142" s="173"/>
      <c r="G142" s="174"/>
      <c r="H142" s="174"/>
    </row>
    <row r="143" spans="1:8" ht="17.399999999999999" x14ac:dyDescent="0.3">
      <c r="A143" s="191" t="s">
        <v>64</v>
      </c>
      <c r="B143" s="192"/>
      <c r="C143" s="192"/>
      <c r="D143" s="193"/>
      <c r="E143" s="17"/>
      <c r="F143" s="183" t="s">
        <v>44</v>
      </c>
      <c r="G143" s="184"/>
      <c r="H143" s="185"/>
    </row>
    <row r="144" spans="1:8" x14ac:dyDescent="0.3">
      <c r="A144" s="21" t="s">
        <v>21</v>
      </c>
      <c r="B144" s="22" t="s">
        <v>22</v>
      </c>
      <c r="C144" s="22" t="s">
        <v>23</v>
      </c>
      <c r="D144" s="23" t="s">
        <v>25</v>
      </c>
      <c r="E144" s="41"/>
      <c r="F144" s="186"/>
      <c r="G144" s="187"/>
      <c r="H144" s="188"/>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78" t="s">
        <v>65</v>
      </c>
      <c r="B160" s="179"/>
      <c r="C160" s="179"/>
      <c r="D160" s="96">
        <f>SUM(Rehab_35[Amount])</f>
        <v>0</v>
      </c>
      <c r="E160" s="34"/>
      <c r="F160" s="173" t="s">
        <v>33</v>
      </c>
      <c r="G160" s="174"/>
      <c r="H160" s="174"/>
    </row>
    <row r="161" spans="6:8" x14ac:dyDescent="0.3">
      <c r="F161" s="173"/>
      <c r="G161" s="174"/>
      <c r="H161" s="174"/>
    </row>
  </sheetData>
  <sheetProtection algorithmName="SHA-512" hashValue="yYkcSI8zRR+uj0ddHO9I9bUbnwqFMpSRAyRk9E5YrxdMKxRdNfJxoMxNcdofUv8tq/n6Sn51X19O9EEWxO4vhw==" saltValue="bGlwhQC5V/QPyGifaxIJfQ=="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N161"/>
  <sheetViews>
    <sheetView showGridLines="0" zoomScaleNormal="100" workbookViewId="0">
      <pane ySplit="9" topLeftCell="A124"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5" t="s">
        <v>24</v>
      </c>
      <c r="B1" s="175"/>
      <c r="C1" s="175"/>
      <c r="D1" s="175"/>
      <c r="E1" s="1"/>
      <c r="F1" s="2"/>
      <c r="G1" s="2"/>
      <c r="H1" s="1"/>
    </row>
    <row r="2" spans="1:14" ht="24.9" customHeight="1" x14ac:dyDescent="0.3">
      <c r="A2" s="176" t="s">
        <v>71</v>
      </c>
      <c r="B2" s="176"/>
      <c r="C2" s="176"/>
      <c r="D2" s="176"/>
      <c r="E2" s="4"/>
      <c r="F2" s="120"/>
      <c r="G2" s="120"/>
      <c r="H2" s="5"/>
    </row>
    <row r="3" spans="1:14" ht="31.5" customHeight="1" x14ac:dyDescent="0.3">
      <c r="A3" s="176"/>
      <c r="B3" s="176"/>
      <c r="C3" s="176"/>
      <c r="D3" s="176"/>
      <c r="E3" s="4"/>
      <c r="F3" s="120"/>
      <c r="G3" s="120"/>
      <c r="H3" s="5"/>
    </row>
    <row r="4" spans="1:14" ht="15" customHeight="1" x14ac:dyDescent="0.25">
      <c r="A4" s="75" t="s">
        <v>19</v>
      </c>
      <c r="B4" s="194" t="str">
        <f>IF('Summary Sheet'!B68="","",'Summary Sheet'!B68)</f>
        <v>18 W 114TH PL</v>
      </c>
      <c r="C4" s="194"/>
      <c r="D4" s="120"/>
      <c r="E4" s="4"/>
      <c r="F4" s="120"/>
      <c r="G4" s="120"/>
      <c r="H4" s="5"/>
    </row>
    <row r="5" spans="1:14" ht="15" customHeight="1" x14ac:dyDescent="0.25">
      <c r="A5" s="75" t="s">
        <v>20</v>
      </c>
      <c r="B5" s="195" t="str">
        <f>IF('Summary Sheet'!C68="","",'Summary Sheet'!C68)</f>
        <v/>
      </c>
      <c r="C5" s="195"/>
      <c r="D5" s="120"/>
      <c r="E5" s="4"/>
      <c r="F5" s="120"/>
      <c r="G5" s="120"/>
      <c r="H5" s="5"/>
    </row>
    <row r="6" spans="1:14" ht="15" customHeight="1" x14ac:dyDescent="0.25">
      <c r="A6" s="75" t="s">
        <v>36</v>
      </c>
      <c r="B6" s="177"/>
      <c r="C6" s="177"/>
      <c r="D6" s="6"/>
      <c r="E6" s="7"/>
    </row>
    <row r="7" spans="1:14" ht="15" customHeight="1" x14ac:dyDescent="0.25">
      <c r="A7" s="7"/>
      <c r="B7" s="196" t="s">
        <v>34</v>
      </c>
      <c r="C7" s="196"/>
      <c r="D7" s="10"/>
    </row>
    <row r="8" spans="1:14" ht="20.100000000000001" customHeight="1" x14ac:dyDescent="0.25">
      <c r="B8" s="11"/>
      <c r="C8" s="11"/>
      <c r="D8" s="12" t="s">
        <v>31</v>
      </c>
      <c r="F8" s="180" t="s">
        <v>32</v>
      </c>
      <c r="G8" s="181"/>
      <c r="H8" s="182"/>
    </row>
    <row r="9" spans="1:14" s="14" customFormat="1" ht="20.100000000000001" customHeight="1" x14ac:dyDescent="0.25">
      <c r="A9" s="197"/>
      <c r="B9" s="197"/>
      <c r="C9" s="197"/>
      <c r="D9" s="13">
        <f>SUM(D27,D46,D65,D84,D103,D122,D141,D160)</f>
        <v>20010</v>
      </c>
      <c r="F9" s="15" t="s">
        <v>28</v>
      </c>
      <c r="G9" s="15" t="s">
        <v>29</v>
      </c>
      <c r="H9" s="15" t="s">
        <v>30</v>
      </c>
      <c r="I9" s="16"/>
      <c r="J9" s="16"/>
      <c r="K9" s="16"/>
      <c r="L9" s="16"/>
      <c r="M9" s="16"/>
      <c r="N9" s="16"/>
    </row>
    <row r="10" spans="1:14" s="17" customFormat="1" ht="23.1" customHeight="1" x14ac:dyDescent="0.3">
      <c r="A10" s="198" t="s">
        <v>51</v>
      </c>
      <c r="B10" s="198"/>
      <c r="C10" s="198"/>
      <c r="D10" s="198"/>
      <c r="F10" s="183" t="s">
        <v>66</v>
      </c>
      <c r="G10" s="184"/>
      <c r="H10" s="185"/>
      <c r="I10" s="18"/>
      <c r="J10" s="18"/>
      <c r="K10" s="18"/>
      <c r="L10" s="18"/>
      <c r="M10" s="19"/>
      <c r="N10" s="20"/>
    </row>
    <row r="11" spans="1:14" s="24" customFormat="1" ht="12.75" customHeight="1" x14ac:dyDescent="0.25">
      <c r="A11" s="21" t="s">
        <v>21</v>
      </c>
      <c r="B11" s="22" t="s">
        <v>22</v>
      </c>
      <c r="C11" s="22" t="s">
        <v>23</v>
      </c>
      <c r="D11" s="23" t="s">
        <v>25</v>
      </c>
      <c r="F11" s="186"/>
      <c r="G11" s="187"/>
      <c r="H11" s="188"/>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78" t="s">
        <v>53</v>
      </c>
      <c r="B27" s="179"/>
      <c r="C27" s="179"/>
      <c r="D27" s="96">
        <f>SUM(Grass_36[Amount])</f>
        <v>0</v>
      </c>
      <c r="F27" s="173" t="s">
        <v>33</v>
      </c>
      <c r="G27" s="174"/>
      <c r="H27" s="174"/>
      <c r="I27" s="35"/>
      <c r="J27" s="35"/>
      <c r="K27" s="35"/>
      <c r="L27" s="35"/>
      <c r="M27" s="36"/>
      <c r="N27" s="37"/>
    </row>
    <row r="28" spans="1:14" s="40" customFormat="1" ht="11.1" customHeight="1" x14ac:dyDescent="0.3">
      <c r="A28" s="38"/>
      <c r="B28" s="38"/>
      <c r="C28" s="38"/>
      <c r="D28" s="39"/>
      <c r="F28" s="173"/>
      <c r="G28" s="174"/>
      <c r="H28" s="174"/>
      <c r="I28" s="35"/>
      <c r="J28" s="35"/>
      <c r="K28" s="35"/>
      <c r="L28" s="35"/>
      <c r="M28" s="36"/>
      <c r="N28" s="37"/>
    </row>
    <row r="29" spans="1:14" s="17" customFormat="1" ht="23.1" customHeight="1" x14ac:dyDescent="0.3">
      <c r="A29" s="191" t="s">
        <v>67</v>
      </c>
      <c r="B29" s="192"/>
      <c r="C29" s="192"/>
      <c r="D29" s="193"/>
      <c r="F29" s="183" t="s">
        <v>52</v>
      </c>
      <c r="G29" s="184"/>
      <c r="H29" s="185"/>
      <c r="I29" s="18"/>
      <c r="J29" s="18"/>
      <c r="K29" s="18"/>
      <c r="L29" s="18"/>
      <c r="M29" s="19"/>
      <c r="N29" s="20"/>
    </row>
    <row r="30" spans="1:14" s="41" customFormat="1" ht="12.75" customHeight="1" x14ac:dyDescent="0.25">
      <c r="A30" s="21" t="s">
        <v>21</v>
      </c>
      <c r="B30" s="22" t="s">
        <v>22</v>
      </c>
      <c r="C30" s="22" t="s">
        <v>23</v>
      </c>
      <c r="D30" s="23" t="s">
        <v>25</v>
      </c>
      <c r="F30" s="186"/>
      <c r="G30" s="187"/>
      <c r="H30" s="188"/>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19"/>
      <c r="J44" s="29"/>
      <c r="K44" s="29"/>
      <c r="L44" s="119"/>
      <c r="M44" s="30"/>
      <c r="N44" s="16"/>
    </row>
    <row r="45" spans="1:14" x14ac:dyDescent="0.3">
      <c r="A45" s="106"/>
      <c r="B45" s="107"/>
      <c r="C45" s="107"/>
      <c r="D45" s="114"/>
      <c r="F45" s="103"/>
      <c r="G45" s="104"/>
      <c r="H45" s="109"/>
      <c r="I45" s="119"/>
      <c r="J45" s="29"/>
      <c r="K45" s="29"/>
      <c r="L45" s="119"/>
      <c r="M45" s="30"/>
      <c r="N45" s="16"/>
    </row>
    <row r="46" spans="1:14" s="34" customFormat="1" x14ac:dyDescent="0.3">
      <c r="A46" s="178" t="s">
        <v>54</v>
      </c>
      <c r="B46" s="179"/>
      <c r="C46" s="179"/>
      <c r="D46" s="96">
        <f>SUM(Tree_36[Amount])</f>
        <v>0</v>
      </c>
      <c r="F46" s="173" t="s">
        <v>33</v>
      </c>
      <c r="G46" s="174"/>
      <c r="H46" s="174"/>
      <c r="I46" s="43"/>
      <c r="J46" s="43"/>
      <c r="K46" s="43"/>
      <c r="L46" s="43"/>
      <c r="M46" s="36"/>
      <c r="N46" s="37"/>
    </row>
    <row r="47" spans="1:14" s="40" customFormat="1" ht="11.1" customHeight="1" x14ac:dyDescent="0.3">
      <c r="A47" s="38"/>
      <c r="B47" s="38"/>
      <c r="C47" s="38"/>
      <c r="D47" s="39"/>
      <c r="F47" s="173"/>
      <c r="G47" s="174"/>
      <c r="H47" s="174"/>
      <c r="I47" s="43"/>
      <c r="J47" s="43"/>
      <c r="K47" s="43"/>
      <c r="L47" s="43"/>
      <c r="M47" s="36"/>
      <c r="N47" s="37"/>
    </row>
    <row r="48" spans="1:14" s="17" customFormat="1" ht="23.1" customHeight="1" x14ac:dyDescent="0.3">
      <c r="A48" s="191" t="s">
        <v>68</v>
      </c>
      <c r="B48" s="192"/>
      <c r="C48" s="192"/>
      <c r="D48" s="193"/>
      <c r="F48" s="183" t="s">
        <v>55</v>
      </c>
      <c r="G48" s="184"/>
      <c r="H48" s="185"/>
      <c r="I48" s="44"/>
      <c r="J48" s="44"/>
      <c r="K48" s="44"/>
      <c r="L48" s="44"/>
      <c r="M48" s="19"/>
      <c r="N48" s="20"/>
    </row>
    <row r="49" spans="1:14" s="41" customFormat="1" ht="12.75" customHeight="1" x14ac:dyDescent="0.25">
      <c r="A49" s="21" t="s">
        <v>21</v>
      </c>
      <c r="B49" s="22" t="s">
        <v>22</v>
      </c>
      <c r="C49" s="22" t="s">
        <v>23</v>
      </c>
      <c r="D49" s="23" t="s">
        <v>25</v>
      </c>
      <c r="F49" s="186"/>
      <c r="G49" s="187"/>
      <c r="H49" s="188"/>
      <c r="I49" s="119"/>
      <c r="J49" s="119"/>
      <c r="K49" s="119"/>
      <c r="L49" s="119"/>
      <c r="M49" s="30"/>
      <c r="N49" s="42"/>
    </row>
    <row r="50" spans="1:14" x14ac:dyDescent="0.3">
      <c r="A50" s="100"/>
      <c r="B50" s="101"/>
      <c r="C50" s="101"/>
      <c r="D50" s="112"/>
      <c r="F50" s="103"/>
      <c r="G50" s="104"/>
      <c r="H50" s="109"/>
      <c r="I50" s="119"/>
      <c r="J50" s="119"/>
      <c r="K50" s="119"/>
      <c r="L50" s="119"/>
      <c r="M50" s="30"/>
      <c r="N50" s="16"/>
    </row>
    <row r="51" spans="1:14" x14ac:dyDescent="0.3">
      <c r="A51" s="106"/>
      <c r="B51" s="107"/>
      <c r="C51" s="107"/>
      <c r="D51" s="113"/>
      <c r="F51" s="103"/>
      <c r="G51" s="104"/>
      <c r="H51" s="109"/>
      <c r="I51" s="119"/>
      <c r="J51" s="119"/>
      <c r="K51" s="119"/>
      <c r="L51" s="119"/>
      <c r="M51" s="30"/>
      <c r="N51" s="16"/>
    </row>
    <row r="52" spans="1:14" x14ac:dyDescent="0.3">
      <c r="A52" s="106"/>
      <c r="B52" s="107"/>
      <c r="C52" s="107"/>
      <c r="D52" s="114"/>
      <c r="F52" s="103"/>
      <c r="H52" s="109"/>
      <c r="I52" s="119"/>
      <c r="J52" s="119"/>
      <c r="K52" s="119"/>
      <c r="L52" s="119"/>
      <c r="M52" s="30"/>
      <c r="N52" s="16"/>
    </row>
    <row r="53" spans="1:14" x14ac:dyDescent="0.3">
      <c r="A53" s="106"/>
      <c r="B53" s="107"/>
      <c r="C53" s="107"/>
      <c r="D53" s="113"/>
      <c r="F53" s="103"/>
      <c r="G53" s="104"/>
      <c r="H53" s="109"/>
      <c r="I53" s="119"/>
      <c r="J53" s="119"/>
      <c r="K53" s="119"/>
      <c r="L53" s="119"/>
      <c r="M53" s="30"/>
      <c r="N53" s="16"/>
    </row>
    <row r="54" spans="1:14" x14ac:dyDescent="0.3">
      <c r="A54" s="106"/>
      <c r="B54" s="107"/>
      <c r="C54" s="107"/>
      <c r="D54" s="114"/>
      <c r="F54" s="103"/>
      <c r="G54" s="104"/>
      <c r="H54" s="109"/>
      <c r="I54" s="119"/>
      <c r="J54" s="119"/>
      <c r="K54" s="119"/>
      <c r="L54" s="119"/>
      <c r="M54" s="30"/>
      <c r="N54" s="16"/>
    </row>
    <row r="55" spans="1:14" x14ac:dyDescent="0.3">
      <c r="A55" s="106"/>
      <c r="B55" s="107"/>
      <c r="C55" s="107"/>
      <c r="D55" s="113"/>
      <c r="F55" s="103"/>
      <c r="G55" s="104"/>
      <c r="H55" s="109"/>
      <c r="I55" s="119"/>
      <c r="J55" s="119"/>
      <c r="K55" s="119"/>
      <c r="L55" s="119"/>
      <c r="M55" s="30"/>
      <c r="N55" s="16"/>
    </row>
    <row r="56" spans="1:14" x14ac:dyDescent="0.3">
      <c r="A56" s="106"/>
      <c r="B56" s="107"/>
      <c r="C56" s="107"/>
      <c r="D56" s="114"/>
      <c r="F56" s="103"/>
      <c r="G56" s="104"/>
      <c r="H56" s="109"/>
      <c r="I56" s="119"/>
      <c r="J56" s="119"/>
      <c r="K56" s="119"/>
      <c r="L56" s="119"/>
      <c r="M56" s="30"/>
      <c r="N56" s="16"/>
    </row>
    <row r="57" spans="1:14" x14ac:dyDescent="0.3">
      <c r="A57" s="106"/>
      <c r="B57" s="107"/>
      <c r="C57" s="107"/>
      <c r="D57" s="113"/>
      <c r="F57" s="103"/>
      <c r="G57" s="104"/>
      <c r="H57" s="109"/>
      <c r="I57" s="119"/>
      <c r="J57" s="119"/>
      <c r="K57" s="119"/>
      <c r="L57" s="119"/>
      <c r="M57" s="30"/>
      <c r="N57" s="16"/>
    </row>
    <row r="58" spans="1:14" x14ac:dyDescent="0.3">
      <c r="A58" s="106"/>
      <c r="B58" s="107"/>
      <c r="C58" s="107"/>
      <c r="D58" s="114"/>
      <c r="F58" s="103"/>
      <c r="G58" s="104"/>
      <c r="H58" s="109"/>
      <c r="I58" s="119"/>
      <c r="J58" s="119"/>
      <c r="K58" s="119"/>
      <c r="L58" s="119"/>
      <c r="M58" s="30"/>
      <c r="N58" s="16"/>
    </row>
    <row r="59" spans="1:14" x14ac:dyDescent="0.3">
      <c r="A59" s="106"/>
      <c r="B59" s="107"/>
      <c r="C59" s="107"/>
      <c r="D59" s="113"/>
      <c r="F59" s="103"/>
      <c r="G59" s="104"/>
      <c r="H59" s="109"/>
      <c r="I59" s="119"/>
      <c r="J59" s="190"/>
      <c r="K59" s="190"/>
      <c r="L59" s="119"/>
      <c r="M59" s="30"/>
      <c r="N59" s="16"/>
    </row>
    <row r="60" spans="1:14" x14ac:dyDescent="0.3">
      <c r="A60" s="106"/>
      <c r="B60" s="107"/>
      <c r="C60" s="107"/>
      <c r="D60" s="114"/>
      <c r="F60" s="103"/>
      <c r="G60" s="104"/>
      <c r="H60" s="109"/>
      <c r="I60" s="189"/>
      <c r="J60" s="189"/>
      <c r="K60" s="189"/>
      <c r="L60" s="189"/>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78" t="s">
        <v>56</v>
      </c>
      <c r="B65" s="179"/>
      <c r="C65" s="179"/>
      <c r="D65" s="96">
        <f>SUM(Pest_36[Amount])</f>
        <v>0</v>
      </c>
      <c r="F65" s="173" t="s">
        <v>33</v>
      </c>
      <c r="G65" s="174"/>
      <c r="H65" s="174"/>
    </row>
    <row r="66" spans="1:8" x14ac:dyDescent="0.3">
      <c r="F66" s="173"/>
      <c r="G66" s="174"/>
      <c r="H66" s="174"/>
    </row>
    <row r="67" spans="1:8" ht="17.399999999999999" x14ac:dyDescent="0.3">
      <c r="A67" s="198" t="s">
        <v>69</v>
      </c>
      <c r="B67" s="198"/>
      <c r="C67" s="198"/>
      <c r="D67" s="198"/>
      <c r="E67" s="17"/>
      <c r="F67" s="183" t="s">
        <v>57</v>
      </c>
      <c r="G67" s="184"/>
      <c r="H67" s="185"/>
    </row>
    <row r="68" spans="1:8" x14ac:dyDescent="0.3">
      <c r="A68" s="21" t="s">
        <v>21</v>
      </c>
      <c r="B68" s="22" t="s">
        <v>22</v>
      </c>
      <c r="C68" s="22" t="s">
        <v>23</v>
      </c>
      <c r="D68" s="23" t="s">
        <v>25</v>
      </c>
      <c r="E68" s="24"/>
      <c r="F68" s="186"/>
      <c r="G68" s="187"/>
      <c r="H68" s="188"/>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78" t="s">
        <v>58</v>
      </c>
      <c r="B84" s="179"/>
      <c r="C84" s="179"/>
      <c r="D84" s="96">
        <f>SUM(Garbage_36[Amount])</f>
        <v>0</v>
      </c>
      <c r="E84" s="34"/>
      <c r="F84" s="173" t="s">
        <v>33</v>
      </c>
      <c r="G84" s="174"/>
      <c r="H84" s="174"/>
    </row>
    <row r="85" spans="1:8" x14ac:dyDescent="0.3">
      <c r="A85" s="38"/>
      <c r="B85" s="38"/>
      <c r="C85" s="38"/>
      <c r="D85" s="39"/>
      <c r="E85" s="40"/>
      <c r="F85" s="173"/>
      <c r="G85" s="174"/>
      <c r="H85" s="174"/>
    </row>
    <row r="86" spans="1:8" ht="17.399999999999999" x14ac:dyDescent="0.3">
      <c r="A86" s="191" t="s">
        <v>59</v>
      </c>
      <c r="B86" s="192"/>
      <c r="C86" s="192"/>
      <c r="D86" s="193"/>
      <c r="E86" s="17"/>
      <c r="F86" s="183" t="s">
        <v>60</v>
      </c>
      <c r="G86" s="184"/>
      <c r="H86" s="185"/>
    </row>
    <row r="87" spans="1:8" x14ac:dyDescent="0.3">
      <c r="A87" s="21" t="s">
        <v>21</v>
      </c>
      <c r="B87" s="22" t="s">
        <v>22</v>
      </c>
      <c r="C87" s="22" t="s">
        <v>23</v>
      </c>
      <c r="D87" s="23" t="s">
        <v>25</v>
      </c>
      <c r="E87" s="41"/>
      <c r="F87" s="186"/>
      <c r="G87" s="187"/>
      <c r="H87" s="188"/>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78" t="s">
        <v>61</v>
      </c>
      <c r="B103" s="179"/>
      <c r="C103" s="179"/>
      <c r="D103" s="96">
        <f>SUM(Boarding_36[Amount])</f>
        <v>0</v>
      </c>
      <c r="E103" s="34"/>
      <c r="F103" s="173" t="s">
        <v>33</v>
      </c>
      <c r="G103" s="174"/>
      <c r="H103" s="174"/>
    </row>
    <row r="104" spans="1:8" x14ac:dyDescent="0.3">
      <c r="A104" s="38"/>
      <c r="B104" s="38"/>
      <c r="C104" s="38"/>
      <c r="D104" s="39"/>
      <c r="E104" s="40"/>
      <c r="F104" s="173"/>
      <c r="G104" s="174"/>
      <c r="H104" s="174"/>
    </row>
    <row r="105" spans="1:8" ht="17.399999999999999" x14ac:dyDescent="0.3">
      <c r="A105" s="191" t="s">
        <v>70</v>
      </c>
      <c r="B105" s="192"/>
      <c r="C105" s="192"/>
      <c r="D105" s="193"/>
      <c r="E105" s="17"/>
      <c r="F105" s="183" t="s">
        <v>62</v>
      </c>
      <c r="G105" s="184"/>
      <c r="H105" s="185"/>
    </row>
    <row r="106" spans="1:8" x14ac:dyDescent="0.3">
      <c r="A106" s="21" t="s">
        <v>21</v>
      </c>
      <c r="B106" s="22" t="s">
        <v>22</v>
      </c>
      <c r="C106" s="22" t="s">
        <v>23</v>
      </c>
      <c r="D106" s="23" t="s">
        <v>25</v>
      </c>
      <c r="E106" s="41"/>
      <c r="F106" s="186"/>
      <c r="G106" s="187"/>
      <c r="H106" s="188"/>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78" t="s">
        <v>63</v>
      </c>
      <c r="B122" s="179"/>
      <c r="C122" s="179"/>
      <c r="D122" s="96">
        <f>SUM(Fence_36[Amount])</f>
        <v>0</v>
      </c>
      <c r="E122" s="34"/>
      <c r="F122" s="173" t="s">
        <v>33</v>
      </c>
      <c r="G122" s="174"/>
      <c r="H122" s="174"/>
    </row>
    <row r="123" spans="1:8" x14ac:dyDescent="0.3">
      <c r="F123" s="173"/>
      <c r="G123" s="174"/>
      <c r="H123" s="174"/>
    </row>
    <row r="124" spans="1:8" ht="17.399999999999999" x14ac:dyDescent="0.3">
      <c r="A124" s="191" t="s">
        <v>26</v>
      </c>
      <c r="B124" s="192"/>
      <c r="C124" s="192"/>
      <c r="D124" s="193"/>
      <c r="E124" s="17"/>
      <c r="F124" s="183" t="s">
        <v>11</v>
      </c>
      <c r="G124" s="184"/>
      <c r="H124" s="185"/>
    </row>
    <row r="125" spans="1:8" x14ac:dyDescent="0.3">
      <c r="A125" s="21" t="s">
        <v>21</v>
      </c>
      <c r="B125" s="22" t="s">
        <v>22</v>
      </c>
      <c r="C125" s="22" t="s">
        <v>23</v>
      </c>
      <c r="D125" s="23" t="s">
        <v>25</v>
      </c>
      <c r="E125" s="41"/>
      <c r="F125" s="186"/>
      <c r="G125" s="187"/>
      <c r="H125" s="188"/>
    </row>
    <row r="126" spans="1:8" x14ac:dyDescent="0.3">
      <c r="A126" s="100"/>
      <c r="B126" s="101"/>
      <c r="C126" s="101"/>
      <c r="D126" s="112">
        <v>20010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78" t="s">
        <v>27</v>
      </c>
      <c r="B141" s="179"/>
      <c r="C141" s="179"/>
      <c r="D141" s="96">
        <f>SUM(Demolition_36[Amount])</f>
        <v>20010</v>
      </c>
      <c r="E141" s="34"/>
      <c r="F141" s="173" t="s">
        <v>33</v>
      </c>
      <c r="G141" s="174"/>
      <c r="H141" s="174"/>
    </row>
    <row r="142" spans="1:8" x14ac:dyDescent="0.3">
      <c r="A142" s="38"/>
      <c r="B142" s="38"/>
      <c r="C142" s="38"/>
      <c r="D142" s="39"/>
      <c r="E142" s="40"/>
      <c r="F142" s="173"/>
      <c r="G142" s="174"/>
      <c r="H142" s="174"/>
    </row>
    <row r="143" spans="1:8" ht="17.399999999999999" x14ac:dyDescent="0.3">
      <c r="A143" s="191" t="s">
        <v>64</v>
      </c>
      <c r="B143" s="192"/>
      <c r="C143" s="192"/>
      <c r="D143" s="193"/>
      <c r="E143" s="17"/>
      <c r="F143" s="183" t="s">
        <v>44</v>
      </c>
      <c r="G143" s="184"/>
      <c r="H143" s="185"/>
    </row>
    <row r="144" spans="1:8" x14ac:dyDescent="0.3">
      <c r="A144" s="21" t="s">
        <v>21</v>
      </c>
      <c r="B144" s="22" t="s">
        <v>22</v>
      </c>
      <c r="C144" s="22" t="s">
        <v>23</v>
      </c>
      <c r="D144" s="23" t="s">
        <v>25</v>
      </c>
      <c r="E144" s="41"/>
      <c r="F144" s="186"/>
      <c r="G144" s="187"/>
      <c r="H144" s="188"/>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78" t="s">
        <v>65</v>
      </c>
      <c r="B160" s="179"/>
      <c r="C160" s="179"/>
      <c r="D160" s="96">
        <f>SUM(Rehab_36[Amount])</f>
        <v>0</v>
      </c>
      <c r="E160" s="34"/>
      <c r="F160" s="173" t="s">
        <v>33</v>
      </c>
      <c r="G160" s="174"/>
      <c r="H160" s="174"/>
    </row>
    <row r="161" spans="6:8" x14ac:dyDescent="0.3">
      <c r="F161" s="173"/>
      <c r="G161" s="174"/>
      <c r="H161" s="174"/>
    </row>
  </sheetData>
  <sheetProtection algorithmName="SHA-512" hashValue="R9VLm9tX0v0t1vVql4pOLzPpDEfllPUtAXSqMJC/eMqEdmAe41ajRW+FIw5TNH7rHscAoe7RWOzcN1AdVG/qKQ==" saltValue="9UfyW9ZzZWuKuwihN5OTPQ=="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N161"/>
  <sheetViews>
    <sheetView showGridLines="0" zoomScaleNormal="100" workbookViewId="0">
      <pane ySplit="9" topLeftCell="A124"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5" t="s">
        <v>24</v>
      </c>
      <c r="B1" s="175"/>
      <c r="C1" s="175"/>
      <c r="D1" s="175"/>
      <c r="E1" s="1"/>
      <c r="F1" s="2"/>
      <c r="G1" s="2"/>
      <c r="H1" s="1"/>
    </row>
    <row r="2" spans="1:14" ht="24.9" customHeight="1" x14ac:dyDescent="0.3">
      <c r="A2" s="176" t="s">
        <v>71</v>
      </c>
      <c r="B2" s="176"/>
      <c r="C2" s="176"/>
      <c r="D2" s="176"/>
      <c r="E2" s="4"/>
      <c r="F2" s="120"/>
      <c r="G2" s="120"/>
      <c r="H2" s="5"/>
    </row>
    <row r="3" spans="1:14" ht="31.5" customHeight="1" x14ac:dyDescent="0.3">
      <c r="A3" s="176"/>
      <c r="B3" s="176"/>
      <c r="C3" s="176"/>
      <c r="D3" s="176"/>
      <c r="E3" s="4"/>
      <c r="F3" s="120"/>
      <c r="G3" s="120"/>
      <c r="H3" s="5"/>
    </row>
    <row r="4" spans="1:14" ht="15" customHeight="1" x14ac:dyDescent="0.25">
      <c r="A4" s="75" t="s">
        <v>19</v>
      </c>
      <c r="B4" s="194" t="str">
        <f>IF('Summary Sheet'!B69="","",'Summary Sheet'!B69)</f>
        <v>1949 W 68TH ST</v>
      </c>
      <c r="C4" s="194"/>
      <c r="D4" s="120"/>
      <c r="E4" s="4"/>
      <c r="F4" s="120"/>
      <c r="G4" s="120"/>
      <c r="H4" s="5"/>
    </row>
    <row r="5" spans="1:14" ht="15" customHeight="1" x14ac:dyDescent="0.25">
      <c r="A5" s="75" t="s">
        <v>20</v>
      </c>
      <c r="B5" s="195" t="str">
        <f>IF('Summary Sheet'!C69="","",'Summary Sheet'!C69)</f>
        <v/>
      </c>
      <c r="C5" s="195"/>
      <c r="D5" s="120"/>
      <c r="E5" s="4"/>
      <c r="F5" s="120"/>
      <c r="G5" s="120"/>
      <c r="H5" s="5"/>
    </row>
    <row r="6" spans="1:14" ht="15" customHeight="1" x14ac:dyDescent="0.25">
      <c r="A6" s="75" t="s">
        <v>36</v>
      </c>
      <c r="B6" s="177"/>
      <c r="C6" s="177"/>
      <c r="D6" s="6"/>
      <c r="E6" s="7"/>
    </row>
    <row r="7" spans="1:14" ht="15" customHeight="1" x14ac:dyDescent="0.25">
      <c r="A7" s="7"/>
      <c r="B7" s="196" t="s">
        <v>34</v>
      </c>
      <c r="C7" s="196"/>
      <c r="D7" s="10"/>
    </row>
    <row r="8" spans="1:14" ht="20.100000000000001" customHeight="1" x14ac:dyDescent="0.25">
      <c r="B8" s="11"/>
      <c r="C8" s="11"/>
      <c r="D8" s="12" t="s">
        <v>31</v>
      </c>
      <c r="F8" s="180" t="s">
        <v>32</v>
      </c>
      <c r="G8" s="181"/>
      <c r="H8" s="182"/>
    </row>
    <row r="9" spans="1:14" s="14" customFormat="1" ht="20.100000000000001" customHeight="1" x14ac:dyDescent="0.25">
      <c r="A9" s="197"/>
      <c r="B9" s="197"/>
      <c r="C9" s="197"/>
      <c r="D9" s="13">
        <f>SUM(D27,D46,D65,D84,D103,D122,D141,D160)</f>
        <v>20010</v>
      </c>
      <c r="F9" s="15" t="s">
        <v>28</v>
      </c>
      <c r="G9" s="15" t="s">
        <v>29</v>
      </c>
      <c r="H9" s="15" t="s">
        <v>30</v>
      </c>
      <c r="I9" s="16"/>
      <c r="J9" s="16"/>
      <c r="K9" s="16"/>
      <c r="L9" s="16"/>
      <c r="M9" s="16"/>
      <c r="N9" s="16"/>
    </row>
    <row r="10" spans="1:14" s="17" customFormat="1" ht="23.1" customHeight="1" x14ac:dyDescent="0.3">
      <c r="A10" s="198" t="s">
        <v>51</v>
      </c>
      <c r="B10" s="198"/>
      <c r="C10" s="198"/>
      <c r="D10" s="198"/>
      <c r="F10" s="183" t="s">
        <v>66</v>
      </c>
      <c r="G10" s="184"/>
      <c r="H10" s="185"/>
      <c r="I10" s="18"/>
      <c r="J10" s="18"/>
      <c r="K10" s="18"/>
      <c r="L10" s="18"/>
      <c r="M10" s="19"/>
      <c r="N10" s="20"/>
    </row>
    <row r="11" spans="1:14" s="24" customFormat="1" ht="12.75" customHeight="1" x14ac:dyDescent="0.25">
      <c r="A11" s="21" t="s">
        <v>21</v>
      </c>
      <c r="B11" s="22" t="s">
        <v>22</v>
      </c>
      <c r="C11" s="22" t="s">
        <v>23</v>
      </c>
      <c r="D11" s="23" t="s">
        <v>25</v>
      </c>
      <c r="F11" s="186"/>
      <c r="G11" s="187"/>
      <c r="H11" s="188"/>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78" t="s">
        <v>53</v>
      </c>
      <c r="B27" s="179"/>
      <c r="C27" s="179"/>
      <c r="D27" s="96">
        <f>SUM(Grass_37[Amount])</f>
        <v>0</v>
      </c>
      <c r="F27" s="173" t="s">
        <v>33</v>
      </c>
      <c r="G27" s="174"/>
      <c r="H27" s="174"/>
      <c r="I27" s="35"/>
      <c r="J27" s="35"/>
      <c r="K27" s="35"/>
      <c r="L27" s="35"/>
      <c r="M27" s="36"/>
      <c r="N27" s="37"/>
    </row>
    <row r="28" spans="1:14" s="40" customFormat="1" ht="11.1" customHeight="1" x14ac:dyDescent="0.3">
      <c r="A28" s="38"/>
      <c r="B28" s="38"/>
      <c r="C28" s="38"/>
      <c r="D28" s="39"/>
      <c r="F28" s="173"/>
      <c r="G28" s="174"/>
      <c r="H28" s="174"/>
      <c r="I28" s="35"/>
      <c r="J28" s="35"/>
      <c r="K28" s="35"/>
      <c r="L28" s="35"/>
      <c r="M28" s="36"/>
      <c r="N28" s="37"/>
    </row>
    <row r="29" spans="1:14" s="17" customFormat="1" ht="23.1" customHeight="1" x14ac:dyDescent="0.3">
      <c r="A29" s="191" t="s">
        <v>67</v>
      </c>
      <c r="B29" s="192"/>
      <c r="C29" s="192"/>
      <c r="D29" s="193"/>
      <c r="F29" s="183" t="s">
        <v>52</v>
      </c>
      <c r="G29" s="184"/>
      <c r="H29" s="185"/>
      <c r="I29" s="18"/>
      <c r="J29" s="18"/>
      <c r="K29" s="18"/>
      <c r="L29" s="18"/>
      <c r="M29" s="19"/>
      <c r="N29" s="20"/>
    </row>
    <row r="30" spans="1:14" s="41" customFormat="1" ht="12.75" customHeight="1" x14ac:dyDescent="0.25">
      <c r="A30" s="21" t="s">
        <v>21</v>
      </c>
      <c r="B30" s="22" t="s">
        <v>22</v>
      </c>
      <c r="C30" s="22" t="s">
        <v>23</v>
      </c>
      <c r="D30" s="23" t="s">
        <v>25</v>
      </c>
      <c r="F30" s="186"/>
      <c r="G30" s="187"/>
      <c r="H30" s="188"/>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19"/>
      <c r="J44" s="29"/>
      <c r="K44" s="29"/>
      <c r="L44" s="119"/>
      <c r="M44" s="30"/>
      <c r="N44" s="16"/>
    </row>
    <row r="45" spans="1:14" x14ac:dyDescent="0.3">
      <c r="A45" s="106"/>
      <c r="B45" s="107"/>
      <c r="C45" s="107"/>
      <c r="D45" s="114"/>
      <c r="F45" s="103"/>
      <c r="G45" s="104"/>
      <c r="H45" s="109"/>
      <c r="I45" s="119"/>
      <c r="J45" s="29"/>
      <c r="K45" s="29"/>
      <c r="L45" s="119"/>
      <c r="M45" s="30"/>
      <c r="N45" s="16"/>
    </row>
    <row r="46" spans="1:14" s="34" customFormat="1" x14ac:dyDescent="0.3">
      <c r="A46" s="178" t="s">
        <v>54</v>
      </c>
      <c r="B46" s="179"/>
      <c r="C46" s="179"/>
      <c r="D46" s="96">
        <f>SUM(Tree_37[Amount])</f>
        <v>0</v>
      </c>
      <c r="F46" s="173" t="s">
        <v>33</v>
      </c>
      <c r="G46" s="174"/>
      <c r="H46" s="174"/>
      <c r="I46" s="43"/>
      <c r="J46" s="43"/>
      <c r="K46" s="43"/>
      <c r="L46" s="43"/>
      <c r="M46" s="36"/>
      <c r="N46" s="37"/>
    </row>
    <row r="47" spans="1:14" s="40" customFormat="1" ht="11.1" customHeight="1" x14ac:dyDescent="0.3">
      <c r="A47" s="38"/>
      <c r="B47" s="38"/>
      <c r="C47" s="38"/>
      <c r="D47" s="39"/>
      <c r="F47" s="173"/>
      <c r="G47" s="174"/>
      <c r="H47" s="174"/>
      <c r="I47" s="43"/>
      <c r="J47" s="43"/>
      <c r="K47" s="43"/>
      <c r="L47" s="43"/>
      <c r="M47" s="36"/>
      <c r="N47" s="37"/>
    </row>
    <row r="48" spans="1:14" s="17" customFormat="1" ht="23.1" customHeight="1" x14ac:dyDescent="0.3">
      <c r="A48" s="191" t="s">
        <v>68</v>
      </c>
      <c r="B48" s="192"/>
      <c r="C48" s="192"/>
      <c r="D48" s="193"/>
      <c r="F48" s="183" t="s">
        <v>55</v>
      </c>
      <c r="G48" s="184"/>
      <c r="H48" s="185"/>
      <c r="I48" s="44"/>
      <c r="J48" s="44"/>
      <c r="K48" s="44"/>
      <c r="L48" s="44"/>
      <c r="M48" s="19"/>
      <c r="N48" s="20"/>
    </row>
    <row r="49" spans="1:14" s="41" customFormat="1" ht="12.75" customHeight="1" x14ac:dyDescent="0.25">
      <c r="A49" s="21" t="s">
        <v>21</v>
      </c>
      <c r="B49" s="22" t="s">
        <v>22</v>
      </c>
      <c r="C49" s="22" t="s">
        <v>23</v>
      </c>
      <c r="D49" s="23" t="s">
        <v>25</v>
      </c>
      <c r="F49" s="186"/>
      <c r="G49" s="187"/>
      <c r="H49" s="188"/>
      <c r="I49" s="119"/>
      <c r="J49" s="119"/>
      <c r="K49" s="119"/>
      <c r="L49" s="119"/>
      <c r="M49" s="30"/>
      <c r="N49" s="42"/>
    </row>
    <row r="50" spans="1:14" x14ac:dyDescent="0.3">
      <c r="A50" s="100"/>
      <c r="B50" s="101"/>
      <c r="C50" s="101"/>
      <c r="D50" s="112"/>
      <c r="F50" s="103"/>
      <c r="G50" s="104"/>
      <c r="H50" s="109"/>
      <c r="I50" s="119"/>
      <c r="J50" s="119"/>
      <c r="K50" s="119"/>
      <c r="L50" s="119"/>
      <c r="M50" s="30"/>
      <c r="N50" s="16"/>
    </row>
    <row r="51" spans="1:14" x14ac:dyDescent="0.3">
      <c r="A51" s="106"/>
      <c r="B51" s="107"/>
      <c r="C51" s="107"/>
      <c r="D51" s="113"/>
      <c r="F51" s="103"/>
      <c r="G51" s="104"/>
      <c r="H51" s="109"/>
      <c r="I51" s="119"/>
      <c r="J51" s="119"/>
      <c r="K51" s="119"/>
      <c r="L51" s="119"/>
      <c r="M51" s="30"/>
      <c r="N51" s="16"/>
    </row>
    <row r="52" spans="1:14" x14ac:dyDescent="0.3">
      <c r="A52" s="106"/>
      <c r="B52" s="107"/>
      <c r="C52" s="107"/>
      <c r="D52" s="114"/>
      <c r="F52" s="103"/>
      <c r="H52" s="109"/>
      <c r="I52" s="119"/>
      <c r="J52" s="119"/>
      <c r="K52" s="119"/>
      <c r="L52" s="119"/>
      <c r="M52" s="30"/>
      <c r="N52" s="16"/>
    </row>
    <row r="53" spans="1:14" x14ac:dyDescent="0.3">
      <c r="A53" s="106"/>
      <c r="B53" s="107"/>
      <c r="C53" s="107"/>
      <c r="D53" s="113"/>
      <c r="F53" s="103"/>
      <c r="G53" s="104"/>
      <c r="H53" s="109"/>
      <c r="I53" s="119"/>
      <c r="J53" s="119"/>
      <c r="K53" s="119"/>
      <c r="L53" s="119"/>
      <c r="M53" s="30"/>
      <c r="N53" s="16"/>
    </row>
    <row r="54" spans="1:14" x14ac:dyDescent="0.3">
      <c r="A54" s="106"/>
      <c r="B54" s="107"/>
      <c r="C54" s="107"/>
      <c r="D54" s="114"/>
      <c r="F54" s="103"/>
      <c r="G54" s="104"/>
      <c r="H54" s="109"/>
      <c r="I54" s="119"/>
      <c r="J54" s="119"/>
      <c r="K54" s="119"/>
      <c r="L54" s="119"/>
      <c r="M54" s="30"/>
      <c r="N54" s="16"/>
    </row>
    <row r="55" spans="1:14" x14ac:dyDescent="0.3">
      <c r="A55" s="106"/>
      <c r="B55" s="107"/>
      <c r="C55" s="107"/>
      <c r="D55" s="113"/>
      <c r="F55" s="103"/>
      <c r="G55" s="104"/>
      <c r="H55" s="109"/>
      <c r="I55" s="119"/>
      <c r="J55" s="119"/>
      <c r="K55" s="119"/>
      <c r="L55" s="119"/>
      <c r="M55" s="30"/>
      <c r="N55" s="16"/>
    </row>
    <row r="56" spans="1:14" x14ac:dyDescent="0.3">
      <c r="A56" s="106"/>
      <c r="B56" s="107"/>
      <c r="C56" s="107"/>
      <c r="D56" s="114"/>
      <c r="F56" s="103"/>
      <c r="G56" s="104"/>
      <c r="H56" s="109"/>
      <c r="I56" s="119"/>
      <c r="J56" s="119"/>
      <c r="K56" s="119"/>
      <c r="L56" s="119"/>
      <c r="M56" s="30"/>
      <c r="N56" s="16"/>
    </row>
    <row r="57" spans="1:14" x14ac:dyDescent="0.3">
      <c r="A57" s="106"/>
      <c r="B57" s="107"/>
      <c r="C57" s="107"/>
      <c r="D57" s="113"/>
      <c r="F57" s="103"/>
      <c r="G57" s="104"/>
      <c r="H57" s="109"/>
      <c r="I57" s="119"/>
      <c r="J57" s="119"/>
      <c r="K57" s="119"/>
      <c r="L57" s="119"/>
      <c r="M57" s="30"/>
      <c r="N57" s="16"/>
    </row>
    <row r="58" spans="1:14" x14ac:dyDescent="0.3">
      <c r="A58" s="106"/>
      <c r="B58" s="107"/>
      <c r="C58" s="107"/>
      <c r="D58" s="114"/>
      <c r="F58" s="103"/>
      <c r="G58" s="104"/>
      <c r="H58" s="109"/>
      <c r="I58" s="119"/>
      <c r="J58" s="119"/>
      <c r="K58" s="119"/>
      <c r="L58" s="119"/>
      <c r="M58" s="30"/>
      <c r="N58" s="16"/>
    </row>
    <row r="59" spans="1:14" x14ac:dyDescent="0.3">
      <c r="A59" s="106"/>
      <c r="B59" s="107"/>
      <c r="C59" s="107"/>
      <c r="D59" s="113"/>
      <c r="F59" s="103"/>
      <c r="G59" s="104"/>
      <c r="H59" s="109"/>
      <c r="I59" s="119"/>
      <c r="J59" s="190"/>
      <c r="K59" s="190"/>
      <c r="L59" s="119"/>
      <c r="M59" s="30"/>
      <c r="N59" s="16"/>
    </row>
    <row r="60" spans="1:14" x14ac:dyDescent="0.3">
      <c r="A60" s="106"/>
      <c r="B60" s="107"/>
      <c r="C60" s="107"/>
      <c r="D60" s="114"/>
      <c r="F60" s="103"/>
      <c r="G60" s="104"/>
      <c r="H60" s="109"/>
      <c r="I60" s="189"/>
      <c r="J60" s="189"/>
      <c r="K60" s="189"/>
      <c r="L60" s="189"/>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78" t="s">
        <v>56</v>
      </c>
      <c r="B65" s="179"/>
      <c r="C65" s="179"/>
      <c r="D65" s="96">
        <f>SUM(Pest_37[Amount])</f>
        <v>0</v>
      </c>
      <c r="F65" s="173" t="s">
        <v>33</v>
      </c>
      <c r="G65" s="174"/>
      <c r="H65" s="174"/>
    </row>
    <row r="66" spans="1:8" x14ac:dyDescent="0.3">
      <c r="F66" s="173"/>
      <c r="G66" s="174"/>
      <c r="H66" s="174"/>
    </row>
    <row r="67" spans="1:8" ht="17.399999999999999" x14ac:dyDescent="0.3">
      <c r="A67" s="198" t="s">
        <v>69</v>
      </c>
      <c r="B67" s="198"/>
      <c r="C67" s="198"/>
      <c r="D67" s="198"/>
      <c r="E67" s="17"/>
      <c r="F67" s="183" t="s">
        <v>57</v>
      </c>
      <c r="G67" s="184"/>
      <c r="H67" s="185"/>
    </row>
    <row r="68" spans="1:8" x14ac:dyDescent="0.3">
      <c r="A68" s="21" t="s">
        <v>21</v>
      </c>
      <c r="B68" s="22" t="s">
        <v>22</v>
      </c>
      <c r="C68" s="22" t="s">
        <v>23</v>
      </c>
      <c r="D68" s="23" t="s">
        <v>25</v>
      </c>
      <c r="E68" s="24"/>
      <c r="F68" s="186"/>
      <c r="G68" s="187"/>
      <c r="H68" s="188"/>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78" t="s">
        <v>58</v>
      </c>
      <c r="B84" s="179"/>
      <c r="C84" s="179"/>
      <c r="D84" s="96">
        <f>SUM(Garbage_37[Amount])</f>
        <v>0</v>
      </c>
      <c r="E84" s="34"/>
      <c r="F84" s="173" t="s">
        <v>33</v>
      </c>
      <c r="G84" s="174"/>
      <c r="H84" s="174"/>
    </row>
    <row r="85" spans="1:8" x14ac:dyDescent="0.3">
      <c r="A85" s="38"/>
      <c r="B85" s="38"/>
      <c r="C85" s="38"/>
      <c r="D85" s="39"/>
      <c r="E85" s="40"/>
      <c r="F85" s="173"/>
      <c r="G85" s="174"/>
      <c r="H85" s="174"/>
    </row>
    <row r="86" spans="1:8" ht="17.399999999999999" x14ac:dyDescent="0.3">
      <c r="A86" s="191" t="s">
        <v>59</v>
      </c>
      <c r="B86" s="192"/>
      <c r="C86" s="192"/>
      <c r="D86" s="193"/>
      <c r="E86" s="17"/>
      <c r="F86" s="183" t="s">
        <v>60</v>
      </c>
      <c r="G86" s="184"/>
      <c r="H86" s="185"/>
    </row>
    <row r="87" spans="1:8" x14ac:dyDescent="0.3">
      <c r="A87" s="21" t="s">
        <v>21</v>
      </c>
      <c r="B87" s="22" t="s">
        <v>22</v>
      </c>
      <c r="C87" s="22" t="s">
        <v>23</v>
      </c>
      <c r="D87" s="23" t="s">
        <v>25</v>
      </c>
      <c r="E87" s="41"/>
      <c r="F87" s="186"/>
      <c r="G87" s="187"/>
      <c r="H87" s="188"/>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78" t="s">
        <v>61</v>
      </c>
      <c r="B103" s="179"/>
      <c r="C103" s="179"/>
      <c r="D103" s="96">
        <f>SUM(Boarding_37[Amount])</f>
        <v>0</v>
      </c>
      <c r="E103" s="34"/>
      <c r="F103" s="173" t="s">
        <v>33</v>
      </c>
      <c r="G103" s="174"/>
      <c r="H103" s="174"/>
    </row>
    <row r="104" spans="1:8" x14ac:dyDescent="0.3">
      <c r="A104" s="38"/>
      <c r="B104" s="38"/>
      <c r="C104" s="38"/>
      <c r="D104" s="39"/>
      <c r="E104" s="40"/>
      <c r="F104" s="173"/>
      <c r="G104" s="174"/>
      <c r="H104" s="174"/>
    </row>
    <row r="105" spans="1:8" ht="17.399999999999999" x14ac:dyDescent="0.3">
      <c r="A105" s="191" t="s">
        <v>70</v>
      </c>
      <c r="B105" s="192"/>
      <c r="C105" s="192"/>
      <c r="D105" s="193"/>
      <c r="E105" s="17"/>
      <c r="F105" s="183" t="s">
        <v>62</v>
      </c>
      <c r="G105" s="184"/>
      <c r="H105" s="185"/>
    </row>
    <row r="106" spans="1:8" x14ac:dyDescent="0.3">
      <c r="A106" s="21" t="s">
        <v>21</v>
      </c>
      <c r="B106" s="22" t="s">
        <v>22</v>
      </c>
      <c r="C106" s="22" t="s">
        <v>23</v>
      </c>
      <c r="D106" s="23" t="s">
        <v>25</v>
      </c>
      <c r="E106" s="41"/>
      <c r="F106" s="186"/>
      <c r="G106" s="187"/>
      <c r="H106" s="188"/>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78" t="s">
        <v>63</v>
      </c>
      <c r="B122" s="179"/>
      <c r="C122" s="179"/>
      <c r="D122" s="96">
        <f>SUM(Fence_37[Amount])</f>
        <v>0</v>
      </c>
      <c r="E122" s="34"/>
      <c r="F122" s="173" t="s">
        <v>33</v>
      </c>
      <c r="G122" s="174"/>
      <c r="H122" s="174"/>
    </row>
    <row r="123" spans="1:8" x14ac:dyDescent="0.3">
      <c r="F123" s="173"/>
      <c r="G123" s="174"/>
      <c r="H123" s="174"/>
    </row>
    <row r="124" spans="1:8" ht="17.399999999999999" x14ac:dyDescent="0.3">
      <c r="A124" s="191" t="s">
        <v>26</v>
      </c>
      <c r="B124" s="192"/>
      <c r="C124" s="192"/>
      <c r="D124" s="193"/>
      <c r="E124" s="17"/>
      <c r="F124" s="183" t="s">
        <v>11</v>
      </c>
      <c r="G124" s="184"/>
      <c r="H124" s="185"/>
    </row>
    <row r="125" spans="1:8" x14ac:dyDescent="0.3">
      <c r="A125" s="21" t="s">
        <v>21</v>
      </c>
      <c r="B125" s="22" t="s">
        <v>22</v>
      </c>
      <c r="C125" s="22" t="s">
        <v>23</v>
      </c>
      <c r="D125" s="23" t="s">
        <v>25</v>
      </c>
      <c r="E125" s="41"/>
      <c r="F125" s="186"/>
      <c r="G125" s="187"/>
      <c r="H125" s="188"/>
    </row>
    <row r="126" spans="1:8" x14ac:dyDescent="0.3">
      <c r="A126" s="100"/>
      <c r="B126" s="101"/>
      <c r="C126" s="101"/>
      <c r="D126" s="112">
        <v>20010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78" t="s">
        <v>27</v>
      </c>
      <c r="B141" s="179"/>
      <c r="C141" s="179"/>
      <c r="D141" s="96">
        <f>SUM(Demolition_37[Amount])</f>
        <v>20010</v>
      </c>
      <c r="E141" s="34"/>
      <c r="F141" s="173" t="s">
        <v>33</v>
      </c>
      <c r="G141" s="174"/>
      <c r="H141" s="174"/>
    </row>
    <row r="142" spans="1:8" x14ac:dyDescent="0.3">
      <c r="A142" s="38"/>
      <c r="B142" s="38"/>
      <c r="C142" s="38"/>
      <c r="D142" s="39"/>
      <c r="E142" s="40"/>
      <c r="F142" s="173"/>
      <c r="G142" s="174"/>
      <c r="H142" s="174"/>
    </row>
    <row r="143" spans="1:8" ht="17.399999999999999" x14ac:dyDescent="0.3">
      <c r="A143" s="191" t="s">
        <v>64</v>
      </c>
      <c r="B143" s="192"/>
      <c r="C143" s="192"/>
      <c r="D143" s="193"/>
      <c r="E143" s="17"/>
      <c r="F143" s="183" t="s">
        <v>44</v>
      </c>
      <c r="G143" s="184"/>
      <c r="H143" s="185"/>
    </row>
    <row r="144" spans="1:8" x14ac:dyDescent="0.3">
      <c r="A144" s="21" t="s">
        <v>21</v>
      </c>
      <c r="B144" s="22" t="s">
        <v>22</v>
      </c>
      <c r="C144" s="22" t="s">
        <v>23</v>
      </c>
      <c r="D144" s="23" t="s">
        <v>25</v>
      </c>
      <c r="E144" s="41"/>
      <c r="F144" s="186"/>
      <c r="G144" s="187"/>
      <c r="H144" s="188"/>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78" t="s">
        <v>65</v>
      </c>
      <c r="B160" s="179"/>
      <c r="C160" s="179"/>
      <c r="D160" s="96">
        <f>SUM(Rehab_37[Amount])</f>
        <v>0</v>
      </c>
      <c r="E160" s="34"/>
      <c r="F160" s="173" t="s">
        <v>33</v>
      </c>
      <c r="G160" s="174"/>
      <c r="H160" s="174"/>
    </row>
    <row r="161" spans="6:8" x14ac:dyDescent="0.3">
      <c r="F161" s="173"/>
      <c r="G161" s="174"/>
      <c r="H161" s="174"/>
    </row>
  </sheetData>
  <sheetProtection algorithmName="SHA-512" hashValue="FSSXrKzhqezvu5sPP3pcpVythZFt9NOLMQ7esiSfBMwldvu4c/LdoWaSFOA317G3xCvFFr0tXZDdJPTMqS8sjA==" saltValue="tZP87U17c1LfPmSM7KuZDw=="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N161"/>
  <sheetViews>
    <sheetView showGridLines="0" zoomScaleNormal="100" workbookViewId="0">
      <pane ySplit="9" topLeftCell="A121"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5" t="s">
        <v>24</v>
      </c>
      <c r="B1" s="175"/>
      <c r="C1" s="175"/>
      <c r="D1" s="175"/>
      <c r="E1" s="1"/>
      <c r="F1" s="2"/>
      <c r="G1" s="2"/>
      <c r="H1" s="1"/>
    </row>
    <row r="2" spans="1:14" ht="24.9" customHeight="1" x14ac:dyDescent="0.3">
      <c r="A2" s="176" t="s">
        <v>71</v>
      </c>
      <c r="B2" s="176"/>
      <c r="C2" s="176"/>
      <c r="D2" s="176"/>
      <c r="E2" s="4"/>
      <c r="F2" s="120"/>
      <c r="G2" s="120"/>
      <c r="H2" s="5"/>
    </row>
    <row r="3" spans="1:14" ht="31.5" customHeight="1" x14ac:dyDescent="0.3">
      <c r="A3" s="176"/>
      <c r="B3" s="176"/>
      <c r="C3" s="176"/>
      <c r="D3" s="176"/>
      <c r="E3" s="4"/>
      <c r="F3" s="120"/>
      <c r="G3" s="120"/>
      <c r="H3" s="5"/>
    </row>
    <row r="4" spans="1:14" ht="15" customHeight="1" x14ac:dyDescent="0.25">
      <c r="A4" s="75" t="s">
        <v>19</v>
      </c>
      <c r="B4" s="194" t="str">
        <f>IF('Summary Sheet'!B70="","",'Summary Sheet'!B70)</f>
        <v>2017 68TH PL</v>
      </c>
      <c r="C4" s="194"/>
      <c r="D4" s="120"/>
      <c r="E4" s="4"/>
      <c r="F4" s="120"/>
      <c r="G4" s="120"/>
      <c r="H4" s="5"/>
    </row>
    <row r="5" spans="1:14" ht="15" customHeight="1" x14ac:dyDescent="0.25">
      <c r="A5" s="75" t="s">
        <v>20</v>
      </c>
      <c r="B5" s="195" t="str">
        <f>IF('Summary Sheet'!C70="","",'Summary Sheet'!C70)</f>
        <v/>
      </c>
      <c r="C5" s="195"/>
      <c r="D5" s="120"/>
      <c r="E5" s="4"/>
      <c r="F5" s="120"/>
      <c r="G5" s="120"/>
      <c r="H5" s="5"/>
    </row>
    <row r="6" spans="1:14" ht="15" customHeight="1" x14ac:dyDescent="0.25">
      <c r="A6" s="75" t="s">
        <v>36</v>
      </c>
      <c r="B6" s="177"/>
      <c r="C6" s="177"/>
      <c r="D6" s="6"/>
      <c r="E6" s="7"/>
    </row>
    <row r="7" spans="1:14" ht="15" customHeight="1" x14ac:dyDescent="0.25">
      <c r="A7" s="7"/>
      <c r="B7" s="196" t="s">
        <v>34</v>
      </c>
      <c r="C7" s="196"/>
      <c r="D7" s="10"/>
    </row>
    <row r="8" spans="1:14" ht="20.100000000000001" customHeight="1" x14ac:dyDescent="0.25">
      <c r="B8" s="11"/>
      <c r="C8" s="11"/>
      <c r="D8" s="12" t="s">
        <v>31</v>
      </c>
      <c r="F8" s="180" t="s">
        <v>32</v>
      </c>
      <c r="G8" s="181"/>
      <c r="H8" s="182"/>
    </row>
    <row r="9" spans="1:14" s="14" customFormat="1" ht="20.100000000000001" customHeight="1" x14ac:dyDescent="0.25">
      <c r="A9" s="197"/>
      <c r="B9" s="197"/>
      <c r="C9" s="197"/>
      <c r="D9" s="13">
        <f>SUM(D27,D46,D65,D84,D103,D122,D141,D160)</f>
        <v>26510</v>
      </c>
      <c r="F9" s="15" t="s">
        <v>28</v>
      </c>
      <c r="G9" s="15" t="s">
        <v>29</v>
      </c>
      <c r="H9" s="15" t="s">
        <v>30</v>
      </c>
      <c r="I9" s="16"/>
      <c r="J9" s="16"/>
      <c r="K9" s="16"/>
      <c r="L9" s="16"/>
      <c r="M9" s="16"/>
      <c r="N9" s="16"/>
    </row>
    <row r="10" spans="1:14" s="17" customFormat="1" ht="23.1" customHeight="1" x14ac:dyDescent="0.3">
      <c r="A10" s="198" t="s">
        <v>51</v>
      </c>
      <c r="B10" s="198"/>
      <c r="C10" s="198"/>
      <c r="D10" s="198"/>
      <c r="F10" s="183" t="s">
        <v>66</v>
      </c>
      <c r="G10" s="184"/>
      <c r="H10" s="185"/>
      <c r="I10" s="18"/>
      <c r="J10" s="18"/>
      <c r="K10" s="18"/>
      <c r="L10" s="18"/>
      <c r="M10" s="19"/>
      <c r="N10" s="20"/>
    </row>
    <row r="11" spans="1:14" s="24" customFormat="1" ht="12.75" customHeight="1" x14ac:dyDescent="0.25">
      <c r="A11" s="21" t="s">
        <v>21</v>
      </c>
      <c r="B11" s="22" t="s">
        <v>22</v>
      </c>
      <c r="C11" s="22" t="s">
        <v>23</v>
      </c>
      <c r="D11" s="23" t="s">
        <v>25</v>
      </c>
      <c r="F11" s="186"/>
      <c r="G11" s="187"/>
      <c r="H11" s="188"/>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78" t="s">
        <v>53</v>
      </c>
      <c r="B27" s="179"/>
      <c r="C27" s="179"/>
      <c r="D27" s="96">
        <f>SUM(Grass_38[Amount])</f>
        <v>0</v>
      </c>
      <c r="F27" s="173" t="s">
        <v>33</v>
      </c>
      <c r="G27" s="174"/>
      <c r="H27" s="174"/>
      <c r="I27" s="35"/>
      <c r="J27" s="35"/>
      <c r="K27" s="35"/>
      <c r="L27" s="35"/>
      <c r="M27" s="36"/>
      <c r="N27" s="37"/>
    </row>
    <row r="28" spans="1:14" s="40" customFormat="1" ht="11.1" customHeight="1" x14ac:dyDescent="0.3">
      <c r="A28" s="38"/>
      <c r="B28" s="38"/>
      <c r="C28" s="38"/>
      <c r="D28" s="39"/>
      <c r="F28" s="173"/>
      <c r="G28" s="174"/>
      <c r="H28" s="174"/>
      <c r="I28" s="35"/>
      <c r="J28" s="35"/>
      <c r="K28" s="35"/>
      <c r="L28" s="35"/>
      <c r="M28" s="36"/>
      <c r="N28" s="37"/>
    </row>
    <row r="29" spans="1:14" s="17" customFormat="1" ht="23.1" customHeight="1" x14ac:dyDescent="0.3">
      <c r="A29" s="191" t="s">
        <v>67</v>
      </c>
      <c r="B29" s="192"/>
      <c r="C29" s="192"/>
      <c r="D29" s="193"/>
      <c r="F29" s="183" t="s">
        <v>52</v>
      </c>
      <c r="G29" s="184"/>
      <c r="H29" s="185"/>
      <c r="I29" s="18"/>
      <c r="J29" s="18"/>
      <c r="K29" s="18"/>
      <c r="L29" s="18"/>
      <c r="M29" s="19"/>
      <c r="N29" s="20"/>
    </row>
    <row r="30" spans="1:14" s="41" customFormat="1" ht="12.75" customHeight="1" x14ac:dyDescent="0.25">
      <c r="A30" s="21" t="s">
        <v>21</v>
      </c>
      <c r="B30" s="22" t="s">
        <v>22</v>
      </c>
      <c r="C30" s="22" t="s">
        <v>23</v>
      </c>
      <c r="D30" s="23" t="s">
        <v>25</v>
      </c>
      <c r="F30" s="186"/>
      <c r="G30" s="187"/>
      <c r="H30" s="188"/>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19"/>
      <c r="J44" s="29"/>
      <c r="K44" s="29"/>
      <c r="L44" s="119"/>
      <c r="M44" s="30"/>
      <c r="N44" s="16"/>
    </row>
    <row r="45" spans="1:14" x14ac:dyDescent="0.3">
      <c r="A45" s="106"/>
      <c r="B45" s="107"/>
      <c r="C45" s="107"/>
      <c r="D45" s="114"/>
      <c r="F45" s="103"/>
      <c r="G45" s="104"/>
      <c r="H45" s="109"/>
      <c r="I45" s="119"/>
      <c r="J45" s="29"/>
      <c r="K45" s="29"/>
      <c r="L45" s="119"/>
      <c r="M45" s="30"/>
      <c r="N45" s="16"/>
    </row>
    <row r="46" spans="1:14" s="34" customFormat="1" x14ac:dyDescent="0.3">
      <c r="A46" s="178" t="s">
        <v>54</v>
      </c>
      <c r="B46" s="179"/>
      <c r="C46" s="179"/>
      <c r="D46" s="96">
        <f>SUM(Tree_38[Amount])</f>
        <v>0</v>
      </c>
      <c r="F46" s="173" t="s">
        <v>33</v>
      </c>
      <c r="G46" s="174"/>
      <c r="H46" s="174"/>
      <c r="I46" s="43"/>
      <c r="J46" s="43"/>
      <c r="K46" s="43"/>
      <c r="L46" s="43"/>
      <c r="M46" s="36"/>
      <c r="N46" s="37"/>
    </row>
    <row r="47" spans="1:14" s="40" customFormat="1" ht="11.1" customHeight="1" x14ac:dyDescent="0.3">
      <c r="A47" s="38"/>
      <c r="B47" s="38"/>
      <c r="C47" s="38"/>
      <c r="D47" s="39"/>
      <c r="F47" s="173"/>
      <c r="G47" s="174"/>
      <c r="H47" s="174"/>
      <c r="I47" s="43"/>
      <c r="J47" s="43"/>
      <c r="K47" s="43"/>
      <c r="L47" s="43"/>
      <c r="M47" s="36"/>
      <c r="N47" s="37"/>
    </row>
    <row r="48" spans="1:14" s="17" customFormat="1" ht="23.1" customHeight="1" x14ac:dyDescent="0.3">
      <c r="A48" s="191" t="s">
        <v>68</v>
      </c>
      <c r="B48" s="192"/>
      <c r="C48" s="192"/>
      <c r="D48" s="193"/>
      <c r="F48" s="183" t="s">
        <v>55</v>
      </c>
      <c r="G48" s="184"/>
      <c r="H48" s="185"/>
      <c r="I48" s="44"/>
      <c r="J48" s="44"/>
      <c r="K48" s="44"/>
      <c r="L48" s="44"/>
      <c r="M48" s="19"/>
      <c r="N48" s="20"/>
    </row>
    <row r="49" spans="1:14" s="41" customFormat="1" ht="12.75" customHeight="1" x14ac:dyDescent="0.25">
      <c r="A49" s="21" t="s">
        <v>21</v>
      </c>
      <c r="B49" s="22" t="s">
        <v>22</v>
      </c>
      <c r="C49" s="22" t="s">
        <v>23</v>
      </c>
      <c r="D49" s="23" t="s">
        <v>25</v>
      </c>
      <c r="F49" s="186"/>
      <c r="G49" s="187"/>
      <c r="H49" s="188"/>
      <c r="I49" s="119"/>
      <c r="J49" s="119"/>
      <c r="K49" s="119"/>
      <c r="L49" s="119"/>
      <c r="M49" s="30"/>
      <c r="N49" s="42"/>
    </row>
    <row r="50" spans="1:14" x14ac:dyDescent="0.3">
      <c r="A50" s="100"/>
      <c r="B50" s="101"/>
      <c r="C50" s="101"/>
      <c r="D50" s="112"/>
      <c r="F50" s="103"/>
      <c r="G50" s="104"/>
      <c r="H50" s="109"/>
      <c r="I50" s="119"/>
      <c r="J50" s="119"/>
      <c r="K50" s="119"/>
      <c r="L50" s="119"/>
      <c r="M50" s="30"/>
      <c r="N50" s="16"/>
    </row>
    <row r="51" spans="1:14" x14ac:dyDescent="0.3">
      <c r="A51" s="106"/>
      <c r="B51" s="107"/>
      <c r="C51" s="107"/>
      <c r="D51" s="113"/>
      <c r="F51" s="103"/>
      <c r="G51" s="104"/>
      <c r="H51" s="109"/>
      <c r="I51" s="119"/>
      <c r="J51" s="119"/>
      <c r="K51" s="119"/>
      <c r="L51" s="119"/>
      <c r="M51" s="30"/>
      <c r="N51" s="16"/>
    </row>
    <row r="52" spans="1:14" x14ac:dyDescent="0.3">
      <c r="A52" s="106"/>
      <c r="B52" s="107"/>
      <c r="C52" s="107"/>
      <c r="D52" s="114"/>
      <c r="F52" s="103"/>
      <c r="H52" s="109"/>
      <c r="I52" s="119"/>
      <c r="J52" s="119"/>
      <c r="K52" s="119"/>
      <c r="L52" s="119"/>
      <c r="M52" s="30"/>
      <c r="N52" s="16"/>
    </row>
    <row r="53" spans="1:14" x14ac:dyDescent="0.3">
      <c r="A53" s="106"/>
      <c r="B53" s="107"/>
      <c r="C53" s="107"/>
      <c r="D53" s="113"/>
      <c r="F53" s="103"/>
      <c r="G53" s="104"/>
      <c r="H53" s="109"/>
      <c r="I53" s="119"/>
      <c r="J53" s="119"/>
      <c r="K53" s="119"/>
      <c r="L53" s="119"/>
      <c r="M53" s="30"/>
      <c r="N53" s="16"/>
    </row>
    <row r="54" spans="1:14" x14ac:dyDescent="0.3">
      <c r="A54" s="106"/>
      <c r="B54" s="107"/>
      <c r="C54" s="107"/>
      <c r="D54" s="114"/>
      <c r="F54" s="103"/>
      <c r="G54" s="104"/>
      <c r="H54" s="109"/>
      <c r="I54" s="119"/>
      <c r="J54" s="119"/>
      <c r="K54" s="119"/>
      <c r="L54" s="119"/>
      <c r="M54" s="30"/>
      <c r="N54" s="16"/>
    </row>
    <row r="55" spans="1:14" x14ac:dyDescent="0.3">
      <c r="A55" s="106"/>
      <c r="B55" s="107"/>
      <c r="C55" s="107"/>
      <c r="D55" s="113"/>
      <c r="F55" s="103"/>
      <c r="G55" s="104"/>
      <c r="H55" s="109"/>
      <c r="I55" s="119"/>
      <c r="J55" s="119"/>
      <c r="K55" s="119"/>
      <c r="L55" s="119"/>
      <c r="M55" s="30"/>
      <c r="N55" s="16"/>
    </row>
    <row r="56" spans="1:14" x14ac:dyDescent="0.3">
      <c r="A56" s="106"/>
      <c r="B56" s="107"/>
      <c r="C56" s="107"/>
      <c r="D56" s="114"/>
      <c r="F56" s="103"/>
      <c r="G56" s="104"/>
      <c r="H56" s="109"/>
      <c r="I56" s="119"/>
      <c r="J56" s="119"/>
      <c r="K56" s="119"/>
      <c r="L56" s="119"/>
      <c r="M56" s="30"/>
      <c r="N56" s="16"/>
    </row>
    <row r="57" spans="1:14" x14ac:dyDescent="0.3">
      <c r="A57" s="106"/>
      <c r="B57" s="107"/>
      <c r="C57" s="107"/>
      <c r="D57" s="113"/>
      <c r="F57" s="103"/>
      <c r="G57" s="104"/>
      <c r="H57" s="109"/>
      <c r="I57" s="119"/>
      <c r="J57" s="119"/>
      <c r="K57" s="119"/>
      <c r="L57" s="119"/>
      <c r="M57" s="30"/>
      <c r="N57" s="16"/>
    </row>
    <row r="58" spans="1:14" x14ac:dyDescent="0.3">
      <c r="A58" s="106"/>
      <c r="B58" s="107"/>
      <c r="C58" s="107"/>
      <c r="D58" s="114"/>
      <c r="F58" s="103"/>
      <c r="G58" s="104"/>
      <c r="H58" s="109"/>
      <c r="I58" s="119"/>
      <c r="J58" s="119"/>
      <c r="K58" s="119"/>
      <c r="L58" s="119"/>
      <c r="M58" s="30"/>
      <c r="N58" s="16"/>
    </row>
    <row r="59" spans="1:14" x14ac:dyDescent="0.3">
      <c r="A59" s="106"/>
      <c r="B59" s="107"/>
      <c r="C59" s="107"/>
      <c r="D59" s="113"/>
      <c r="F59" s="103"/>
      <c r="G59" s="104"/>
      <c r="H59" s="109"/>
      <c r="I59" s="119"/>
      <c r="J59" s="190"/>
      <c r="K59" s="190"/>
      <c r="L59" s="119"/>
      <c r="M59" s="30"/>
      <c r="N59" s="16"/>
    </row>
    <row r="60" spans="1:14" x14ac:dyDescent="0.3">
      <c r="A60" s="106"/>
      <c r="B60" s="107"/>
      <c r="C60" s="107"/>
      <c r="D60" s="114"/>
      <c r="F60" s="103"/>
      <c r="G60" s="104"/>
      <c r="H60" s="109"/>
      <c r="I60" s="189"/>
      <c r="J60" s="189"/>
      <c r="K60" s="189"/>
      <c r="L60" s="189"/>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78" t="s">
        <v>56</v>
      </c>
      <c r="B65" s="179"/>
      <c r="C65" s="179"/>
      <c r="D65" s="96">
        <f>SUM(Pest_38[Amount])</f>
        <v>0</v>
      </c>
      <c r="F65" s="173" t="s">
        <v>33</v>
      </c>
      <c r="G65" s="174"/>
      <c r="H65" s="174"/>
    </row>
    <row r="66" spans="1:8" x14ac:dyDescent="0.3">
      <c r="F66" s="173"/>
      <c r="G66" s="174"/>
      <c r="H66" s="174"/>
    </row>
    <row r="67" spans="1:8" ht="17.399999999999999" x14ac:dyDescent="0.3">
      <c r="A67" s="198" t="s">
        <v>69</v>
      </c>
      <c r="B67" s="198"/>
      <c r="C67" s="198"/>
      <c r="D67" s="198"/>
      <c r="E67" s="17"/>
      <c r="F67" s="183" t="s">
        <v>57</v>
      </c>
      <c r="G67" s="184"/>
      <c r="H67" s="185"/>
    </row>
    <row r="68" spans="1:8" x14ac:dyDescent="0.3">
      <c r="A68" s="21" t="s">
        <v>21</v>
      </c>
      <c r="B68" s="22" t="s">
        <v>22</v>
      </c>
      <c r="C68" s="22" t="s">
        <v>23</v>
      </c>
      <c r="D68" s="23" t="s">
        <v>25</v>
      </c>
      <c r="E68" s="24"/>
      <c r="F68" s="186"/>
      <c r="G68" s="187"/>
      <c r="H68" s="188"/>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78" t="s">
        <v>58</v>
      </c>
      <c r="B84" s="179"/>
      <c r="C84" s="179"/>
      <c r="D84" s="96">
        <f>SUM(Garbage_38[Amount])</f>
        <v>0</v>
      </c>
      <c r="E84" s="34"/>
      <c r="F84" s="173" t="s">
        <v>33</v>
      </c>
      <c r="G84" s="174"/>
      <c r="H84" s="174"/>
    </row>
    <row r="85" spans="1:8" x14ac:dyDescent="0.3">
      <c r="A85" s="38"/>
      <c r="B85" s="38"/>
      <c r="C85" s="38"/>
      <c r="D85" s="39"/>
      <c r="E85" s="40"/>
      <c r="F85" s="173"/>
      <c r="G85" s="174"/>
      <c r="H85" s="174"/>
    </row>
    <row r="86" spans="1:8" ht="17.399999999999999" x14ac:dyDescent="0.3">
      <c r="A86" s="191" t="s">
        <v>59</v>
      </c>
      <c r="B86" s="192"/>
      <c r="C86" s="192"/>
      <c r="D86" s="193"/>
      <c r="E86" s="17"/>
      <c r="F86" s="183" t="s">
        <v>60</v>
      </c>
      <c r="G86" s="184"/>
      <c r="H86" s="185"/>
    </row>
    <row r="87" spans="1:8" x14ac:dyDescent="0.3">
      <c r="A87" s="21" t="s">
        <v>21</v>
      </c>
      <c r="B87" s="22" t="s">
        <v>22</v>
      </c>
      <c r="C87" s="22" t="s">
        <v>23</v>
      </c>
      <c r="D87" s="23" t="s">
        <v>25</v>
      </c>
      <c r="E87" s="41"/>
      <c r="F87" s="186"/>
      <c r="G87" s="187"/>
      <c r="H87" s="188"/>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78" t="s">
        <v>61</v>
      </c>
      <c r="B103" s="179"/>
      <c r="C103" s="179"/>
      <c r="D103" s="96">
        <f>SUM(Boarding_38[Amount])</f>
        <v>0</v>
      </c>
      <c r="E103" s="34"/>
      <c r="F103" s="173" t="s">
        <v>33</v>
      </c>
      <c r="G103" s="174"/>
      <c r="H103" s="174"/>
    </row>
    <row r="104" spans="1:8" x14ac:dyDescent="0.3">
      <c r="A104" s="38"/>
      <c r="B104" s="38"/>
      <c r="C104" s="38"/>
      <c r="D104" s="39"/>
      <c r="E104" s="40"/>
      <c r="F104" s="173"/>
      <c r="G104" s="174"/>
      <c r="H104" s="174"/>
    </row>
    <row r="105" spans="1:8" ht="17.399999999999999" x14ac:dyDescent="0.3">
      <c r="A105" s="191" t="s">
        <v>70</v>
      </c>
      <c r="B105" s="192"/>
      <c r="C105" s="192"/>
      <c r="D105" s="193"/>
      <c r="E105" s="17"/>
      <c r="F105" s="183" t="s">
        <v>62</v>
      </c>
      <c r="G105" s="184"/>
      <c r="H105" s="185"/>
    </row>
    <row r="106" spans="1:8" x14ac:dyDescent="0.3">
      <c r="A106" s="21" t="s">
        <v>21</v>
      </c>
      <c r="B106" s="22" t="s">
        <v>22</v>
      </c>
      <c r="C106" s="22" t="s">
        <v>23</v>
      </c>
      <c r="D106" s="23" t="s">
        <v>25</v>
      </c>
      <c r="E106" s="41"/>
      <c r="F106" s="186"/>
      <c r="G106" s="187"/>
      <c r="H106" s="188"/>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78" t="s">
        <v>63</v>
      </c>
      <c r="B122" s="179"/>
      <c r="C122" s="179"/>
      <c r="D122" s="96">
        <f>SUM(Fence_38[Amount])</f>
        <v>0</v>
      </c>
      <c r="E122" s="34"/>
      <c r="F122" s="173" t="s">
        <v>33</v>
      </c>
      <c r="G122" s="174"/>
      <c r="H122" s="174"/>
    </row>
    <row r="123" spans="1:8" x14ac:dyDescent="0.3">
      <c r="F123" s="173"/>
      <c r="G123" s="174"/>
      <c r="H123" s="174"/>
    </row>
    <row r="124" spans="1:8" ht="17.399999999999999" x14ac:dyDescent="0.3">
      <c r="A124" s="191" t="s">
        <v>26</v>
      </c>
      <c r="B124" s="192"/>
      <c r="C124" s="192"/>
      <c r="D124" s="193"/>
      <c r="E124" s="17"/>
      <c r="F124" s="183" t="s">
        <v>11</v>
      </c>
      <c r="G124" s="184"/>
      <c r="H124" s="185"/>
    </row>
    <row r="125" spans="1:8" x14ac:dyDescent="0.3">
      <c r="A125" s="21" t="s">
        <v>21</v>
      </c>
      <c r="B125" s="22" t="s">
        <v>22</v>
      </c>
      <c r="C125" s="22" t="s">
        <v>23</v>
      </c>
      <c r="D125" s="23" t="s">
        <v>25</v>
      </c>
      <c r="E125" s="41"/>
      <c r="F125" s="186"/>
      <c r="G125" s="187"/>
      <c r="H125" s="188"/>
    </row>
    <row r="126" spans="1:8" x14ac:dyDescent="0.3">
      <c r="A126" s="100"/>
      <c r="B126" s="101"/>
      <c r="C126" s="101"/>
      <c r="D126" s="112">
        <v>26510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78" t="s">
        <v>27</v>
      </c>
      <c r="B141" s="179"/>
      <c r="C141" s="179"/>
      <c r="D141" s="96">
        <f>SUM(Demolition_38[Amount])</f>
        <v>26510</v>
      </c>
      <c r="E141" s="34"/>
      <c r="F141" s="173" t="s">
        <v>33</v>
      </c>
      <c r="G141" s="174"/>
      <c r="H141" s="174"/>
    </row>
    <row r="142" spans="1:8" x14ac:dyDescent="0.3">
      <c r="A142" s="38"/>
      <c r="B142" s="38"/>
      <c r="C142" s="38"/>
      <c r="D142" s="39"/>
      <c r="E142" s="40"/>
      <c r="F142" s="173"/>
      <c r="G142" s="174"/>
      <c r="H142" s="174"/>
    </row>
    <row r="143" spans="1:8" ht="17.399999999999999" x14ac:dyDescent="0.3">
      <c r="A143" s="191" t="s">
        <v>64</v>
      </c>
      <c r="B143" s="192"/>
      <c r="C143" s="192"/>
      <c r="D143" s="193"/>
      <c r="E143" s="17"/>
      <c r="F143" s="183" t="s">
        <v>44</v>
      </c>
      <c r="G143" s="184"/>
      <c r="H143" s="185"/>
    </row>
    <row r="144" spans="1:8" x14ac:dyDescent="0.3">
      <c r="A144" s="21" t="s">
        <v>21</v>
      </c>
      <c r="B144" s="22" t="s">
        <v>22</v>
      </c>
      <c r="C144" s="22" t="s">
        <v>23</v>
      </c>
      <c r="D144" s="23" t="s">
        <v>25</v>
      </c>
      <c r="E144" s="41"/>
      <c r="F144" s="186"/>
      <c r="G144" s="187"/>
      <c r="H144" s="188"/>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78" t="s">
        <v>65</v>
      </c>
      <c r="B160" s="179"/>
      <c r="C160" s="179"/>
      <c r="D160" s="96">
        <f>SUM(Rehab_38[Amount])</f>
        <v>0</v>
      </c>
      <c r="E160" s="34"/>
      <c r="F160" s="173" t="s">
        <v>33</v>
      </c>
      <c r="G160" s="174"/>
      <c r="H160" s="174"/>
    </row>
    <row r="161" spans="6:8" x14ac:dyDescent="0.3">
      <c r="F161" s="173"/>
      <c r="G161" s="174"/>
      <c r="H161" s="174"/>
    </row>
  </sheetData>
  <sheetProtection algorithmName="SHA-512" hashValue="P6ljmdYwMMUx4GxWGKIxZ95I4JZ474XlAWyetL6Ek7okI7v6FHXGP0pEkTAzk6OVp1PNV707kHp1KqoGePjo/Q==" saltValue="amhgUWP4bPe2YX8MmfODeQ=="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N161"/>
  <sheetViews>
    <sheetView showGridLines="0" zoomScaleNormal="100" workbookViewId="0">
      <pane ySplit="9" topLeftCell="A118" activePane="bottomLeft" state="frozen"/>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5" t="s">
        <v>24</v>
      </c>
      <c r="B1" s="175"/>
      <c r="C1" s="175"/>
      <c r="D1" s="175"/>
      <c r="E1" s="1"/>
      <c r="F1" s="2"/>
      <c r="G1" s="2"/>
      <c r="H1" s="1"/>
    </row>
    <row r="2" spans="1:14" ht="24.9" customHeight="1" x14ac:dyDescent="0.3">
      <c r="A2" s="176" t="s">
        <v>71</v>
      </c>
      <c r="B2" s="176"/>
      <c r="C2" s="176"/>
      <c r="D2" s="176"/>
      <c r="E2" s="4"/>
      <c r="F2" s="90"/>
      <c r="G2" s="90"/>
      <c r="H2" s="5"/>
    </row>
    <row r="3" spans="1:14" ht="31.5" customHeight="1" x14ac:dyDescent="0.3">
      <c r="A3" s="176"/>
      <c r="B3" s="176"/>
      <c r="C3" s="176"/>
      <c r="D3" s="176"/>
      <c r="E3" s="4"/>
      <c r="F3" s="90"/>
      <c r="G3" s="90"/>
      <c r="H3" s="5"/>
    </row>
    <row r="4" spans="1:14" ht="15" customHeight="1" x14ac:dyDescent="0.25">
      <c r="A4" s="75" t="s">
        <v>19</v>
      </c>
      <c r="B4" s="194" t="str">
        <f>IF('Summary Sheet'!B35="","",'Summary Sheet'!B35)</f>
        <v>126 W 109TH PL</v>
      </c>
      <c r="C4" s="194"/>
      <c r="D4" s="90"/>
      <c r="E4" s="4"/>
      <c r="F4" s="90"/>
      <c r="G4" s="90"/>
      <c r="H4" s="5"/>
    </row>
    <row r="5" spans="1:14" ht="15" customHeight="1" x14ac:dyDescent="0.25">
      <c r="A5" s="75" t="s">
        <v>20</v>
      </c>
      <c r="B5" s="195" t="str">
        <f>IF('Summary Sheet'!C35="","",'Summary Sheet'!C35)</f>
        <v/>
      </c>
      <c r="C5" s="195"/>
      <c r="D5" s="90"/>
      <c r="E5" s="4"/>
      <c r="F5" s="90"/>
      <c r="G5" s="90"/>
      <c r="H5" s="5"/>
    </row>
    <row r="6" spans="1:14" ht="15" customHeight="1" x14ac:dyDescent="0.25">
      <c r="A6" s="75" t="s">
        <v>36</v>
      </c>
      <c r="B6" s="177"/>
      <c r="C6" s="177"/>
      <c r="D6" s="6"/>
      <c r="E6" s="7"/>
    </row>
    <row r="7" spans="1:14" ht="15" customHeight="1" x14ac:dyDescent="0.25">
      <c r="A7" s="7"/>
      <c r="B7" s="196" t="s">
        <v>34</v>
      </c>
      <c r="C7" s="196"/>
      <c r="D7" s="10"/>
    </row>
    <row r="8" spans="1:14" ht="20.100000000000001" customHeight="1" x14ac:dyDescent="0.25">
      <c r="B8" s="11"/>
      <c r="C8" s="11"/>
      <c r="D8" s="12" t="s">
        <v>31</v>
      </c>
      <c r="F8" s="180" t="s">
        <v>32</v>
      </c>
      <c r="G8" s="181"/>
      <c r="H8" s="182"/>
    </row>
    <row r="9" spans="1:14" s="14" customFormat="1" ht="20.100000000000001" customHeight="1" x14ac:dyDescent="0.25">
      <c r="A9" s="197"/>
      <c r="B9" s="197"/>
      <c r="C9" s="197"/>
      <c r="D9" s="13">
        <f>SUM(D27,D46,D65,D84,D103,D122,D141,D160)</f>
        <v>19210</v>
      </c>
      <c r="F9" s="15" t="s">
        <v>28</v>
      </c>
      <c r="G9" s="15" t="s">
        <v>29</v>
      </c>
      <c r="H9" s="15" t="s">
        <v>30</v>
      </c>
      <c r="I9" s="16"/>
      <c r="J9" s="16"/>
      <c r="K9" s="16"/>
      <c r="L9" s="16"/>
      <c r="M9" s="16"/>
      <c r="N9" s="16"/>
    </row>
    <row r="10" spans="1:14" s="17" customFormat="1" ht="23.1" customHeight="1" x14ac:dyDescent="0.3">
      <c r="A10" s="198" t="s">
        <v>51</v>
      </c>
      <c r="B10" s="198"/>
      <c r="C10" s="198"/>
      <c r="D10" s="198"/>
      <c r="F10" s="183" t="s">
        <v>66</v>
      </c>
      <c r="G10" s="184"/>
      <c r="H10" s="185"/>
      <c r="I10" s="18"/>
      <c r="J10" s="18"/>
      <c r="K10" s="18"/>
      <c r="L10" s="18"/>
      <c r="M10" s="19"/>
      <c r="N10" s="20"/>
    </row>
    <row r="11" spans="1:14" s="24" customFormat="1" ht="12.75" customHeight="1" x14ac:dyDescent="0.25">
      <c r="A11" s="21" t="s">
        <v>21</v>
      </c>
      <c r="B11" s="22" t="s">
        <v>22</v>
      </c>
      <c r="C11" s="22" t="s">
        <v>23</v>
      </c>
      <c r="D11" s="23" t="s">
        <v>25</v>
      </c>
      <c r="F11" s="186"/>
      <c r="G11" s="187"/>
      <c r="H11" s="188"/>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78" t="s">
        <v>53</v>
      </c>
      <c r="B27" s="179"/>
      <c r="C27" s="179"/>
      <c r="D27" s="96">
        <f>SUM(Grass_3[Amount])</f>
        <v>0</v>
      </c>
      <c r="F27" s="173" t="s">
        <v>33</v>
      </c>
      <c r="G27" s="174"/>
      <c r="H27" s="174"/>
      <c r="I27" s="35"/>
      <c r="J27" s="35"/>
      <c r="K27" s="35"/>
      <c r="L27" s="35"/>
      <c r="M27" s="36"/>
      <c r="N27" s="37"/>
    </row>
    <row r="28" spans="1:14" s="40" customFormat="1" ht="11.1" customHeight="1" x14ac:dyDescent="0.3">
      <c r="A28" s="38"/>
      <c r="B28" s="38"/>
      <c r="C28" s="38"/>
      <c r="D28" s="39"/>
      <c r="F28" s="173"/>
      <c r="G28" s="174"/>
      <c r="H28" s="174"/>
      <c r="I28" s="35"/>
      <c r="J28" s="35"/>
      <c r="K28" s="35"/>
      <c r="L28" s="35"/>
      <c r="M28" s="36"/>
      <c r="N28" s="37"/>
    </row>
    <row r="29" spans="1:14" s="17" customFormat="1" ht="23.1" customHeight="1" x14ac:dyDescent="0.3">
      <c r="A29" s="191" t="s">
        <v>67</v>
      </c>
      <c r="B29" s="192"/>
      <c r="C29" s="192"/>
      <c r="D29" s="193"/>
      <c r="F29" s="183" t="s">
        <v>52</v>
      </c>
      <c r="G29" s="184"/>
      <c r="H29" s="185"/>
      <c r="I29" s="18"/>
      <c r="J29" s="18"/>
      <c r="K29" s="18"/>
      <c r="L29" s="18"/>
      <c r="M29" s="19"/>
      <c r="N29" s="20"/>
    </row>
    <row r="30" spans="1:14" s="41" customFormat="1" ht="12.75" customHeight="1" x14ac:dyDescent="0.25">
      <c r="A30" s="21" t="s">
        <v>21</v>
      </c>
      <c r="B30" s="22" t="s">
        <v>22</v>
      </c>
      <c r="C30" s="22" t="s">
        <v>23</v>
      </c>
      <c r="D30" s="23" t="s">
        <v>25</v>
      </c>
      <c r="F30" s="186"/>
      <c r="G30" s="187"/>
      <c r="H30" s="188"/>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89"/>
      <c r="J44" s="29"/>
      <c r="K44" s="29"/>
      <c r="L44" s="89"/>
      <c r="M44" s="30"/>
      <c r="N44" s="16"/>
    </row>
    <row r="45" spans="1:14" x14ac:dyDescent="0.3">
      <c r="A45" s="106"/>
      <c r="B45" s="107"/>
      <c r="C45" s="107"/>
      <c r="D45" s="114"/>
      <c r="F45" s="103"/>
      <c r="G45" s="104"/>
      <c r="H45" s="109"/>
      <c r="I45" s="89"/>
      <c r="J45" s="29"/>
      <c r="K45" s="29"/>
      <c r="L45" s="89"/>
      <c r="M45" s="30"/>
      <c r="N45" s="16"/>
    </row>
    <row r="46" spans="1:14" s="34" customFormat="1" x14ac:dyDescent="0.3">
      <c r="A46" s="178" t="s">
        <v>54</v>
      </c>
      <c r="B46" s="179"/>
      <c r="C46" s="179"/>
      <c r="D46" s="96">
        <f>SUM(Tree_3[Amount])</f>
        <v>0</v>
      </c>
      <c r="F46" s="173" t="s">
        <v>33</v>
      </c>
      <c r="G46" s="174"/>
      <c r="H46" s="174"/>
      <c r="I46" s="43"/>
      <c r="J46" s="43"/>
      <c r="K46" s="43"/>
      <c r="L46" s="43"/>
      <c r="M46" s="36"/>
      <c r="N46" s="37"/>
    </row>
    <row r="47" spans="1:14" s="40" customFormat="1" ht="11.1" customHeight="1" x14ac:dyDescent="0.3">
      <c r="A47" s="38"/>
      <c r="B47" s="38"/>
      <c r="C47" s="38"/>
      <c r="D47" s="39"/>
      <c r="F47" s="173"/>
      <c r="G47" s="174"/>
      <c r="H47" s="174"/>
      <c r="I47" s="43"/>
      <c r="J47" s="43"/>
      <c r="K47" s="43"/>
      <c r="L47" s="43"/>
      <c r="M47" s="36"/>
      <c r="N47" s="37"/>
    </row>
    <row r="48" spans="1:14" s="17" customFormat="1" ht="23.1" customHeight="1" x14ac:dyDescent="0.3">
      <c r="A48" s="191" t="s">
        <v>68</v>
      </c>
      <c r="B48" s="192"/>
      <c r="C48" s="192"/>
      <c r="D48" s="193"/>
      <c r="F48" s="183" t="s">
        <v>55</v>
      </c>
      <c r="G48" s="184"/>
      <c r="H48" s="185"/>
      <c r="I48" s="44"/>
      <c r="J48" s="44"/>
      <c r="K48" s="44"/>
      <c r="L48" s="44"/>
      <c r="M48" s="19"/>
      <c r="N48" s="20"/>
    </row>
    <row r="49" spans="1:14" s="41" customFormat="1" ht="12.75" customHeight="1" x14ac:dyDescent="0.25">
      <c r="A49" s="21" t="s">
        <v>21</v>
      </c>
      <c r="B49" s="22" t="s">
        <v>22</v>
      </c>
      <c r="C49" s="22" t="s">
        <v>23</v>
      </c>
      <c r="D49" s="23" t="s">
        <v>25</v>
      </c>
      <c r="F49" s="186"/>
      <c r="G49" s="187"/>
      <c r="H49" s="188"/>
      <c r="I49" s="89"/>
      <c r="J49" s="89"/>
      <c r="K49" s="89"/>
      <c r="L49" s="89"/>
      <c r="M49" s="30"/>
      <c r="N49" s="42"/>
    </row>
    <row r="50" spans="1:14" x14ac:dyDescent="0.3">
      <c r="A50" s="100"/>
      <c r="B50" s="101"/>
      <c r="C50" s="101"/>
      <c r="D50" s="112"/>
      <c r="F50" s="103"/>
      <c r="G50" s="104"/>
      <c r="H50" s="109"/>
      <c r="I50" s="89"/>
      <c r="J50" s="89"/>
      <c r="K50" s="89"/>
      <c r="L50" s="89"/>
      <c r="M50" s="30"/>
      <c r="N50" s="16"/>
    </row>
    <row r="51" spans="1:14" x14ac:dyDescent="0.3">
      <c r="A51" s="106"/>
      <c r="B51" s="107"/>
      <c r="C51" s="107"/>
      <c r="D51" s="113"/>
      <c r="F51" s="103"/>
      <c r="G51" s="104"/>
      <c r="H51" s="109"/>
      <c r="I51" s="89"/>
      <c r="J51" s="89"/>
      <c r="K51" s="89"/>
      <c r="L51" s="89"/>
      <c r="M51" s="30"/>
      <c r="N51" s="16"/>
    </row>
    <row r="52" spans="1:14" x14ac:dyDescent="0.3">
      <c r="A52" s="106"/>
      <c r="B52" s="107"/>
      <c r="C52" s="107"/>
      <c r="D52" s="114"/>
      <c r="F52" s="103"/>
      <c r="H52" s="109"/>
      <c r="I52" s="89"/>
      <c r="J52" s="89"/>
      <c r="K52" s="89"/>
      <c r="L52" s="89"/>
      <c r="M52" s="30"/>
      <c r="N52" s="16"/>
    </row>
    <row r="53" spans="1:14" x14ac:dyDescent="0.3">
      <c r="A53" s="106"/>
      <c r="B53" s="107"/>
      <c r="C53" s="107"/>
      <c r="D53" s="113"/>
      <c r="F53" s="103"/>
      <c r="G53" s="104"/>
      <c r="H53" s="109"/>
      <c r="I53" s="89"/>
      <c r="J53" s="89"/>
      <c r="K53" s="89"/>
      <c r="L53" s="89"/>
      <c r="M53" s="30"/>
      <c r="N53" s="16"/>
    </row>
    <row r="54" spans="1:14" x14ac:dyDescent="0.3">
      <c r="A54" s="106"/>
      <c r="B54" s="107"/>
      <c r="C54" s="107"/>
      <c r="D54" s="114"/>
      <c r="F54" s="103"/>
      <c r="G54" s="104"/>
      <c r="H54" s="109"/>
      <c r="I54" s="89"/>
      <c r="J54" s="89"/>
      <c r="K54" s="89"/>
      <c r="L54" s="89"/>
      <c r="M54" s="30"/>
      <c r="N54" s="16"/>
    </row>
    <row r="55" spans="1:14" x14ac:dyDescent="0.3">
      <c r="A55" s="106"/>
      <c r="B55" s="107"/>
      <c r="C55" s="107"/>
      <c r="D55" s="113"/>
      <c r="F55" s="103"/>
      <c r="G55" s="104"/>
      <c r="H55" s="109"/>
      <c r="I55" s="89"/>
      <c r="J55" s="89"/>
      <c r="K55" s="89"/>
      <c r="L55" s="89"/>
      <c r="M55" s="30"/>
      <c r="N55" s="16"/>
    </row>
    <row r="56" spans="1:14" x14ac:dyDescent="0.3">
      <c r="A56" s="106"/>
      <c r="B56" s="107"/>
      <c r="C56" s="107"/>
      <c r="D56" s="114"/>
      <c r="F56" s="103"/>
      <c r="G56" s="104"/>
      <c r="H56" s="109"/>
      <c r="I56" s="89"/>
      <c r="J56" s="89"/>
      <c r="K56" s="89"/>
      <c r="L56" s="89"/>
      <c r="M56" s="30"/>
      <c r="N56" s="16"/>
    </row>
    <row r="57" spans="1:14" x14ac:dyDescent="0.3">
      <c r="A57" s="106"/>
      <c r="B57" s="107"/>
      <c r="C57" s="107"/>
      <c r="D57" s="113"/>
      <c r="F57" s="103"/>
      <c r="G57" s="104"/>
      <c r="H57" s="109"/>
      <c r="I57" s="89"/>
      <c r="J57" s="89"/>
      <c r="K57" s="89"/>
      <c r="L57" s="89"/>
      <c r="M57" s="30"/>
      <c r="N57" s="16"/>
    </row>
    <row r="58" spans="1:14" x14ac:dyDescent="0.3">
      <c r="A58" s="106"/>
      <c r="B58" s="107"/>
      <c r="C58" s="107"/>
      <c r="D58" s="114"/>
      <c r="F58" s="103"/>
      <c r="G58" s="104"/>
      <c r="H58" s="109"/>
      <c r="I58" s="89"/>
      <c r="J58" s="89"/>
      <c r="K58" s="89"/>
      <c r="L58" s="89"/>
      <c r="M58" s="30"/>
      <c r="N58" s="16"/>
    </row>
    <row r="59" spans="1:14" x14ac:dyDescent="0.3">
      <c r="A59" s="106"/>
      <c r="B59" s="107"/>
      <c r="C59" s="107"/>
      <c r="D59" s="113"/>
      <c r="F59" s="103"/>
      <c r="G59" s="104"/>
      <c r="H59" s="109"/>
      <c r="I59" s="89"/>
      <c r="J59" s="190"/>
      <c r="K59" s="190"/>
      <c r="L59" s="89"/>
      <c r="M59" s="30"/>
      <c r="N59" s="16"/>
    </row>
    <row r="60" spans="1:14" x14ac:dyDescent="0.3">
      <c r="A60" s="106"/>
      <c r="B60" s="107"/>
      <c r="C60" s="107"/>
      <c r="D60" s="114"/>
      <c r="F60" s="103"/>
      <c r="G60" s="104"/>
      <c r="H60" s="109"/>
      <c r="I60" s="189"/>
      <c r="J60" s="189"/>
      <c r="K60" s="189"/>
      <c r="L60" s="189"/>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78" t="s">
        <v>56</v>
      </c>
      <c r="B65" s="179"/>
      <c r="C65" s="179"/>
      <c r="D65" s="96">
        <f>SUM(Pest_3[Amount])</f>
        <v>0</v>
      </c>
      <c r="F65" s="173" t="s">
        <v>33</v>
      </c>
      <c r="G65" s="174"/>
      <c r="H65" s="174"/>
    </row>
    <row r="66" spans="1:8" x14ac:dyDescent="0.3">
      <c r="F66" s="173"/>
      <c r="G66" s="174"/>
      <c r="H66" s="174"/>
    </row>
    <row r="67" spans="1:8" ht="17.399999999999999" x14ac:dyDescent="0.3">
      <c r="A67" s="198" t="s">
        <v>69</v>
      </c>
      <c r="B67" s="198"/>
      <c r="C67" s="198"/>
      <c r="D67" s="198"/>
      <c r="E67" s="17"/>
      <c r="F67" s="183" t="s">
        <v>57</v>
      </c>
      <c r="G67" s="184"/>
      <c r="H67" s="185"/>
    </row>
    <row r="68" spans="1:8" x14ac:dyDescent="0.3">
      <c r="A68" s="21" t="s">
        <v>21</v>
      </c>
      <c r="B68" s="22" t="s">
        <v>22</v>
      </c>
      <c r="C68" s="22" t="s">
        <v>23</v>
      </c>
      <c r="D68" s="23" t="s">
        <v>25</v>
      </c>
      <c r="E68" s="24"/>
      <c r="F68" s="186"/>
      <c r="G68" s="187"/>
      <c r="H68" s="188"/>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78" t="s">
        <v>58</v>
      </c>
      <c r="B84" s="179"/>
      <c r="C84" s="179"/>
      <c r="D84" s="96">
        <f>SUM(Garbage_3[Amount])</f>
        <v>0</v>
      </c>
      <c r="E84" s="34"/>
      <c r="F84" s="173" t="s">
        <v>33</v>
      </c>
      <c r="G84" s="174"/>
      <c r="H84" s="174"/>
    </row>
    <row r="85" spans="1:8" x14ac:dyDescent="0.3">
      <c r="A85" s="38"/>
      <c r="B85" s="38"/>
      <c r="C85" s="38"/>
      <c r="D85" s="39"/>
      <c r="E85" s="40"/>
      <c r="F85" s="173"/>
      <c r="G85" s="174"/>
      <c r="H85" s="174"/>
    </row>
    <row r="86" spans="1:8" ht="17.399999999999999" x14ac:dyDescent="0.3">
      <c r="A86" s="191" t="s">
        <v>59</v>
      </c>
      <c r="B86" s="192"/>
      <c r="C86" s="192"/>
      <c r="D86" s="193"/>
      <c r="E86" s="17"/>
      <c r="F86" s="183" t="s">
        <v>60</v>
      </c>
      <c r="G86" s="184"/>
      <c r="H86" s="185"/>
    </row>
    <row r="87" spans="1:8" x14ac:dyDescent="0.3">
      <c r="A87" s="21" t="s">
        <v>21</v>
      </c>
      <c r="B87" s="22" t="s">
        <v>22</v>
      </c>
      <c r="C87" s="22" t="s">
        <v>23</v>
      </c>
      <c r="D87" s="23" t="s">
        <v>25</v>
      </c>
      <c r="E87" s="41"/>
      <c r="F87" s="186"/>
      <c r="G87" s="187"/>
      <c r="H87" s="188"/>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78" t="s">
        <v>61</v>
      </c>
      <c r="B103" s="179"/>
      <c r="C103" s="179"/>
      <c r="D103" s="96">
        <f>SUM(Boarding_3[Amount])</f>
        <v>0</v>
      </c>
      <c r="E103" s="34"/>
      <c r="F103" s="173" t="s">
        <v>33</v>
      </c>
      <c r="G103" s="174"/>
      <c r="H103" s="174"/>
    </row>
    <row r="104" spans="1:8" x14ac:dyDescent="0.3">
      <c r="A104" s="38"/>
      <c r="B104" s="38"/>
      <c r="C104" s="38"/>
      <c r="D104" s="39"/>
      <c r="E104" s="40"/>
      <c r="F104" s="173"/>
      <c r="G104" s="174"/>
      <c r="H104" s="174"/>
    </row>
    <row r="105" spans="1:8" ht="17.399999999999999" x14ac:dyDescent="0.3">
      <c r="A105" s="191" t="s">
        <v>70</v>
      </c>
      <c r="B105" s="192"/>
      <c r="C105" s="192"/>
      <c r="D105" s="193"/>
      <c r="E105" s="17"/>
      <c r="F105" s="183" t="s">
        <v>62</v>
      </c>
      <c r="G105" s="184"/>
      <c r="H105" s="185"/>
    </row>
    <row r="106" spans="1:8" x14ac:dyDescent="0.3">
      <c r="A106" s="21" t="s">
        <v>21</v>
      </c>
      <c r="B106" s="22" t="s">
        <v>22</v>
      </c>
      <c r="C106" s="22" t="s">
        <v>23</v>
      </c>
      <c r="D106" s="23" t="s">
        <v>25</v>
      </c>
      <c r="E106" s="41"/>
      <c r="F106" s="186"/>
      <c r="G106" s="187"/>
      <c r="H106" s="188"/>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78" t="s">
        <v>63</v>
      </c>
      <c r="B122" s="179"/>
      <c r="C122" s="179"/>
      <c r="D122" s="96">
        <f>SUM(Fence_3[Amount])</f>
        <v>0</v>
      </c>
      <c r="E122" s="34"/>
      <c r="F122" s="173" t="s">
        <v>33</v>
      </c>
      <c r="G122" s="174"/>
      <c r="H122" s="174"/>
    </row>
    <row r="123" spans="1:8" x14ac:dyDescent="0.3">
      <c r="F123" s="173"/>
      <c r="G123" s="174"/>
      <c r="H123" s="174"/>
    </row>
    <row r="124" spans="1:8" ht="17.399999999999999" x14ac:dyDescent="0.3">
      <c r="A124" s="191" t="s">
        <v>26</v>
      </c>
      <c r="B124" s="192"/>
      <c r="C124" s="192"/>
      <c r="D124" s="193"/>
      <c r="E124" s="17"/>
      <c r="F124" s="183" t="s">
        <v>11</v>
      </c>
      <c r="G124" s="184"/>
      <c r="H124" s="185"/>
    </row>
    <row r="125" spans="1:8" x14ac:dyDescent="0.3">
      <c r="A125" s="21" t="s">
        <v>21</v>
      </c>
      <c r="B125" s="22" t="s">
        <v>22</v>
      </c>
      <c r="C125" s="22" t="s">
        <v>23</v>
      </c>
      <c r="D125" s="23" t="s">
        <v>25</v>
      </c>
      <c r="E125" s="41"/>
      <c r="F125" s="186"/>
      <c r="G125" s="187"/>
      <c r="H125" s="188"/>
    </row>
    <row r="126" spans="1:8" x14ac:dyDescent="0.3">
      <c r="A126" s="100"/>
      <c r="B126" s="101"/>
      <c r="C126" s="101"/>
      <c r="D126" s="112">
        <v>19210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78" t="s">
        <v>27</v>
      </c>
      <c r="B141" s="179"/>
      <c r="C141" s="179"/>
      <c r="D141" s="96">
        <f>SUM(Demolition_3[Amount])</f>
        <v>19210</v>
      </c>
      <c r="E141" s="34"/>
      <c r="F141" s="173" t="s">
        <v>33</v>
      </c>
      <c r="G141" s="174"/>
      <c r="H141" s="174"/>
    </row>
    <row r="142" spans="1:8" x14ac:dyDescent="0.3">
      <c r="A142" s="38"/>
      <c r="B142" s="38"/>
      <c r="C142" s="38"/>
      <c r="D142" s="39"/>
      <c r="E142" s="40"/>
      <c r="F142" s="173"/>
      <c r="G142" s="174"/>
      <c r="H142" s="174"/>
    </row>
    <row r="143" spans="1:8" ht="17.399999999999999" x14ac:dyDescent="0.3">
      <c r="A143" s="191" t="s">
        <v>64</v>
      </c>
      <c r="B143" s="192"/>
      <c r="C143" s="192"/>
      <c r="D143" s="193"/>
      <c r="E143" s="17"/>
      <c r="F143" s="183" t="s">
        <v>44</v>
      </c>
      <c r="G143" s="184"/>
      <c r="H143" s="185"/>
    </row>
    <row r="144" spans="1:8" x14ac:dyDescent="0.3">
      <c r="A144" s="21" t="s">
        <v>21</v>
      </c>
      <c r="B144" s="22" t="s">
        <v>22</v>
      </c>
      <c r="C144" s="22" t="s">
        <v>23</v>
      </c>
      <c r="D144" s="23" t="s">
        <v>25</v>
      </c>
      <c r="E144" s="41"/>
      <c r="F144" s="186"/>
      <c r="G144" s="187"/>
      <c r="H144" s="188"/>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78" t="s">
        <v>65</v>
      </c>
      <c r="B160" s="179"/>
      <c r="C160" s="179"/>
      <c r="D160" s="96">
        <f>SUM(Rehab_3[Amount])</f>
        <v>0</v>
      </c>
      <c r="E160" s="34"/>
      <c r="F160" s="173" t="s">
        <v>33</v>
      </c>
      <c r="G160" s="174"/>
      <c r="H160" s="174"/>
    </row>
    <row r="161" spans="6:8" x14ac:dyDescent="0.3">
      <c r="F161" s="173"/>
      <c r="G161" s="174"/>
      <c r="H161" s="174"/>
    </row>
  </sheetData>
  <sheetProtection algorithmName="SHA-512" hashValue="4UDxgzPw1PtVQn4XY3K8FujDV0x+JOojv8SJXO87ItKJY42dgtfvlbTfEfBob/JhwyKutYPVI6BDaJkIjiNDtQ==" saltValue="8sBPtuq9njv2q/bPB5W8VA==" spinCount="100000" sheet="1" insertRows="0" deleteRows="0"/>
  <protectedRanges>
    <protectedRange sqref="G160 F145:H159 G141 F126:H140 G122 F107:H121 G103 F88:H102 G84 F69:H83 G65 F50:H64 G46 F31:H45 G27 F12:H26" name="Comments"/>
    <protectedRange sqref="A145:D159" name="Rehab"/>
    <protectedRange sqref="A126:D140" name="Demolition"/>
    <protectedRange sqref="A107:D121" name="Fence"/>
    <protectedRange sqref="A88:D102" name="Boarding"/>
    <protectedRange sqref="A69:D83" name="Garbage"/>
    <protectedRange sqref="A50:D64" name="Pest"/>
    <protectedRange sqref="A31:D45" name="Tree"/>
    <protectedRange sqref="B6" name="Units"/>
    <protectedRange sqref="A12:D26" name="Gras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N161"/>
  <sheetViews>
    <sheetView showGridLines="0" zoomScaleNormal="100" workbookViewId="0">
      <pane ySplit="9" topLeftCell="A115"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5" t="s">
        <v>24</v>
      </c>
      <c r="B1" s="175"/>
      <c r="C1" s="175"/>
      <c r="D1" s="175"/>
      <c r="E1" s="1"/>
      <c r="F1" s="2"/>
      <c r="G1" s="2"/>
      <c r="H1" s="1"/>
    </row>
    <row r="2" spans="1:14" ht="24.9" customHeight="1" x14ac:dyDescent="0.3">
      <c r="A2" s="176" t="s">
        <v>71</v>
      </c>
      <c r="B2" s="176"/>
      <c r="C2" s="176"/>
      <c r="D2" s="176"/>
      <c r="E2" s="4"/>
      <c r="F2" s="120"/>
      <c r="G2" s="120"/>
      <c r="H2" s="5"/>
    </row>
    <row r="3" spans="1:14" ht="31.5" customHeight="1" x14ac:dyDescent="0.3">
      <c r="A3" s="176"/>
      <c r="B3" s="176"/>
      <c r="C3" s="176"/>
      <c r="D3" s="176"/>
      <c r="E3" s="4"/>
      <c r="F3" s="120"/>
      <c r="G3" s="120"/>
      <c r="H3" s="5"/>
    </row>
    <row r="4" spans="1:14" ht="15" customHeight="1" x14ac:dyDescent="0.25">
      <c r="A4" s="75" t="s">
        <v>19</v>
      </c>
      <c r="B4" s="194" t="str">
        <f>IF('Summary Sheet'!B71="","",'Summary Sheet'!B71)</f>
        <v>2017 W MARQUETTE RD</v>
      </c>
      <c r="C4" s="194"/>
      <c r="D4" s="120"/>
      <c r="E4" s="4"/>
      <c r="F4" s="120"/>
      <c r="G4" s="120"/>
      <c r="H4" s="5"/>
    </row>
    <row r="5" spans="1:14" ht="15" customHeight="1" x14ac:dyDescent="0.25">
      <c r="A5" s="75" t="s">
        <v>20</v>
      </c>
      <c r="B5" s="195" t="str">
        <f>IF('Summary Sheet'!C71="","",'Summary Sheet'!C71)</f>
        <v/>
      </c>
      <c r="C5" s="195"/>
      <c r="D5" s="120"/>
      <c r="E5" s="4"/>
      <c r="F5" s="120"/>
      <c r="G5" s="120"/>
      <c r="H5" s="5"/>
    </row>
    <row r="6" spans="1:14" ht="15" customHeight="1" x14ac:dyDescent="0.25">
      <c r="A6" s="75" t="s">
        <v>36</v>
      </c>
      <c r="B6" s="177"/>
      <c r="C6" s="177"/>
      <c r="D6" s="6"/>
      <c r="E6" s="7"/>
    </row>
    <row r="7" spans="1:14" ht="15" customHeight="1" x14ac:dyDescent="0.25">
      <c r="A7" s="7"/>
      <c r="B7" s="196" t="s">
        <v>34</v>
      </c>
      <c r="C7" s="196"/>
      <c r="D7" s="10"/>
    </row>
    <row r="8" spans="1:14" ht="20.100000000000001" customHeight="1" x14ac:dyDescent="0.25">
      <c r="B8" s="11"/>
      <c r="C8" s="11"/>
      <c r="D8" s="12" t="s">
        <v>31</v>
      </c>
      <c r="F8" s="180" t="s">
        <v>32</v>
      </c>
      <c r="G8" s="181"/>
      <c r="H8" s="182"/>
    </row>
    <row r="9" spans="1:14" s="14" customFormat="1" ht="20.100000000000001" customHeight="1" x14ac:dyDescent="0.25">
      <c r="A9" s="197"/>
      <c r="B9" s="197"/>
      <c r="C9" s="197"/>
      <c r="D9" s="13">
        <f>SUM(D27,D46,D65,D84,D103,D122,D141,D160)</f>
        <v>21210</v>
      </c>
      <c r="F9" s="15" t="s">
        <v>28</v>
      </c>
      <c r="G9" s="15" t="s">
        <v>29</v>
      </c>
      <c r="H9" s="15" t="s">
        <v>30</v>
      </c>
      <c r="I9" s="16"/>
      <c r="J9" s="16"/>
      <c r="K9" s="16"/>
      <c r="L9" s="16"/>
      <c r="M9" s="16"/>
      <c r="N9" s="16"/>
    </row>
    <row r="10" spans="1:14" s="17" customFormat="1" ht="23.1" customHeight="1" x14ac:dyDescent="0.3">
      <c r="A10" s="198" t="s">
        <v>51</v>
      </c>
      <c r="B10" s="198"/>
      <c r="C10" s="198"/>
      <c r="D10" s="198"/>
      <c r="F10" s="183" t="s">
        <v>66</v>
      </c>
      <c r="G10" s="184"/>
      <c r="H10" s="185"/>
      <c r="I10" s="18"/>
      <c r="J10" s="18"/>
      <c r="K10" s="18"/>
      <c r="L10" s="18"/>
      <c r="M10" s="19"/>
      <c r="N10" s="20"/>
    </row>
    <row r="11" spans="1:14" s="24" customFormat="1" ht="12.75" customHeight="1" x14ac:dyDescent="0.25">
      <c r="A11" s="21" t="s">
        <v>21</v>
      </c>
      <c r="B11" s="22" t="s">
        <v>22</v>
      </c>
      <c r="C11" s="22" t="s">
        <v>23</v>
      </c>
      <c r="D11" s="23" t="s">
        <v>25</v>
      </c>
      <c r="F11" s="186"/>
      <c r="G11" s="187"/>
      <c r="H11" s="188"/>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78" t="s">
        <v>53</v>
      </c>
      <c r="B27" s="179"/>
      <c r="C27" s="179"/>
      <c r="D27" s="96">
        <f>SUM(Grass_39[Amount])</f>
        <v>0</v>
      </c>
      <c r="F27" s="173" t="s">
        <v>33</v>
      </c>
      <c r="G27" s="174"/>
      <c r="H27" s="174"/>
      <c r="I27" s="35"/>
      <c r="J27" s="35"/>
      <c r="K27" s="35"/>
      <c r="L27" s="35"/>
      <c r="M27" s="36"/>
      <c r="N27" s="37"/>
    </row>
    <row r="28" spans="1:14" s="40" customFormat="1" ht="11.1" customHeight="1" x14ac:dyDescent="0.3">
      <c r="A28" s="38"/>
      <c r="B28" s="38"/>
      <c r="C28" s="38"/>
      <c r="D28" s="39"/>
      <c r="F28" s="173"/>
      <c r="G28" s="174"/>
      <c r="H28" s="174"/>
      <c r="I28" s="35"/>
      <c r="J28" s="35"/>
      <c r="K28" s="35"/>
      <c r="L28" s="35"/>
      <c r="M28" s="36"/>
      <c r="N28" s="37"/>
    </row>
    <row r="29" spans="1:14" s="17" customFormat="1" ht="23.1" customHeight="1" x14ac:dyDescent="0.3">
      <c r="A29" s="191" t="s">
        <v>67</v>
      </c>
      <c r="B29" s="192"/>
      <c r="C29" s="192"/>
      <c r="D29" s="193"/>
      <c r="F29" s="183" t="s">
        <v>52</v>
      </c>
      <c r="G29" s="184"/>
      <c r="H29" s="185"/>
      <c r="I29" s="18"/>
      <c r="J29" s="18"/>
      <c r="K29" s="18"/>
      <c r="L29" s="18"/>
      <c r="M29" s="19"/>
      <c r="N29" s="20"/>
    </row>
    <row r="30" spans="1:14" s="41" customFormat="1" ht="12.75" customHeight="1" x14ac:dyDescent="0.25">
      <c r="A30" s="21" t="s">
        <v>21</v>
      </c>
      <c r="B30" s="22" t="s">
        <v>22</v>
      </c>
      <c r="C30" s="22" t="s">
        <v>23</v>
      </c>
      <c r="D30" s="23" t="s">
        <v>25</v>
      </c>
      <c r="F30" s="186"/>
      <c r="G30" s="187"/>
      <c r="H30" s="188"/>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19"/>
      <c r="J44" s="29"/>
      <c r="K44" s="29"/>
      <c r="L44" s="119"/>
      <c r="M44" s="30"/>
      <c r="N44" s="16"/>
    </row>
    <row r="45" spans="1:14" x14ac:dyDescent="0.3">
      <c r="A45" s="106"/>
      <c r="B45" s="107"/>
      <c r="C45" s="107"/>
      <c r="D45" s="114"/>
      <c r="F45" s="103"/>
      <c r="G45" s="104"/>
      <c r="H45" s="109"/>
      <c r="I45" s="119"/>
      <c r="J45" s="29"/>
      <c r="K45" s="29"/>
      <c r="L45" s="119"/>
      <c r="M45" s="30"/>
      <c r="N45" s="16"/>
    </row>
    <row r="46" spans="1:14" s="34" customFormat="1" x14ac:dyDescent="0.3">
      <c r="A46" s="178" t="s">
        <v>54</v>
      </c>
      <c r="B46" s="179"/>
      <c r="C46" s="179"/>
      <c r="D46" s="96">
        <f>SUM(Tree_39[Amount])</f>
        <v>0</v>
      </c>
      <c r="F46" s="173" t="s">
        <v>33</v>
      </c>
      <c r="G46" s="174"/>
      <c r="H46" s="174"/>
      <c r="I46" s="43"/>
      <c r="J46" s="43"/>
      <c r="K46" s="43"/>
      <c r="L46" s="43"/>
      <c r="M46" s="36"/>
      <c r="N46" s="37"/>
    </row>
    <row r="47" spans="1:14" s="40" customFormat="1" ht="11.1" customHeight="1" x14ac:dyDescent="0.3">
      <c r="A47" s="38"/>
      <c r="B47" s="38"/>
      <c r="C47" s="38"/>
      <c r="D47" s="39"/>
      <c r="F47" s="173"/>
      <c r="G47" s="174"/>
      <c r="H47" s="174"/>
      <c r="I47" s="43"/>
      <c r="J47" s="43"/>
      <c r="K47" s="43"/>
      <c r="L47" s="43"/>
      <c r="M47" s="36"/>
      <c r="N47" s="37"/>
    </row>
    <row r="48" spans="1:14" s="17" customFormat="1" ht="23.1" customHeight="1" x14ac:dyDescent="0.3">
      <c r="A48" s="191" t="s">
        <v>68</v>
      </c>
      <c r="B48" s="192"/>
      <c r="C48" s="192"/>
      <c r="D48" s="193"/>
      <c r="F48" s="183" t="s">
        <v>55</v>
      </c>
      <c r="G48" s="184"/>
      <c r="H48" s="185"/>
      <c r="I48" s="44"/>
      <c r="J48" s="44"/>
      <c r="K48" s="44"/>
      <c r="L48" s="44"/>
      <c r="M48" s="19"/>
      <c r="N48" s="20"/>
    </row>
    <row r="49" spans="1:14" s="41" customFormat="1" ht="12.75" customHeight="1" x14ac:dyDescent="0.25">
      <c r="A49" s="21" t="s">
        <v>21</v>
      </c>
      <c r="B49" s="22" t="s">
        <v>22</v>
      </c>
      <c r="C49" s="22" t="s">
        <v>23</v>
      </c>
      <c r="D49" s="23" t="s">
        <v>25</v>
      </c>
      <c r="F49" s="186"/>
      <c r="G49" s="187"/>
      <c r="H49" s="188"/>
      <c r="I49" s="119"/>
      <c r="J49" s="119"/>
      <c r="K49" s="119"/>
      <c r="L49" s="119"/>
      <c r="M49" s="30"/>
      <c r="N49" s="42"/>
    </row>
    <row r="50" spans="1:14" x14ac:dyDescent="0.3">
      <c r="A50" s="100"/>
      <c r="B50" s="101"/>
      <c r="C50" s="101"/>
      <c r="D50" s="112"/>
      <c r="F50" s="103"/>
      <c r="G50" s="104"/>
      <c r="H50" s="109"/>
      <c r="I50" s="119"/>
      <c r="J50" s="119"/>
      <c r="K50" s="119"/>
      <c r="L50" s="119"/>
      <c r="M50" s="30"/>
      <c r="N50" s="16"/>
    </row>
    <row r="51" spans="1:14" x14ac:dyDescent="0.3">
      <c r="A51" s="106"/>
      <c r="B51" s="107"/>
      <c r="C51" s="107"/>
      <c r="D51" s="113"/>
      <c r="F51" s="103"/>
      <c r="G51" s="104"/>
      <c r="H51" s="109"/>
      <c r="I51" s="119"/>
      <c r="J51" s="119"/>
      <c r="K51" s="119"/>
      <c r="L51" s="119"/>
      <c r="M51" s="30"/>
      <c r="N51" s="16"/>
    </row>
    <row r="52" spans="1:14" x14ac:dyDescent="0.3">
      <c r="A52" s="106"/>
      <c r="B52" s="107"/>
      <c r="C52" s="107"/>
      <c r="D52" s="114"/>
      <c r="F52" s="103"/>
      <c r="H52" s="109"/>
      <c r="I52" s="119"/>
      <c r="J52" s="119"/>
      <c r="K52" s="119"/>
      <c r="L52" s="119"/>
      <c r="M52" s="30"/>
      <c r="N52" s="16"/>
    </row>
    <row r="53" spans="1:14" x14ac:dyDescent="0.3">
      <c r="A53" s="106"/>
      <c r="B53" s="107"/>
      <c r="C53" s="107"/>
      <c r="D53" s="113"/>
      <c r="F53" s="103"/>
      <c r="G53" s="104"/>
      <c r="H53" s="109"/>
      <c r="I53" s="119"/>
      <c r="J53" s="119"/>
      <c r="K53" s="119"/>
      <c r="L53" s="119"/>
      <c r="M53" s="30"/>
      <c r="N53" s="16"/>
    </row>
    <row r="54" spans="1:14" x14ac:dyDescent="0.3">
      <c r="A54" s="106"/>
      <c r="B54" s="107"/>
      <c r="C54" s="107"/>
      <c r="D54" s="114"/>
      <c r="F54" s="103"/>
      <c r="G54" s="104"/>
      <c r="H54" s="109"/>
      <c r="I54" s="119"/>
      <c r="J54" s="119"/>
      <c r="K54" s="119"/>
      <c r="L54" s="119"/>
      <c r="M54" s="30"/>
      <c r="N54" s="16"/>
    </row>
    <row r="55" spans="1:14" x14ac:dyDescent="0.3">
      <c r="A55" s="106"/>
      <c r="B55" s="107"/>
      <c r="C55" s="107"/>
      <c r="D55" s="113"/>
      <c r="F55" s="103"/>
      <c r="G55" s="104"/>
      <c r="H55" s="109"/>
      <c r="I55" s="119"/>
      <c r="J55" s="119"/>
      <c r="K55" s="119"/>
      <c r="L55" s="119"/>
      <c r="M55" s="30"/>
      <c r="N55" s="16"/>
    </row>
    <row r="56" spans="1:14" x14ac:dyDescent="0.3">
      <c r="A56" s="106"/>
      <c r="B56" s="107"/>
      <c r="C56" s="107"/>
      <c r="D56" s="114"/>
      <c r="F56" s="103"/>
      <c r="G56" s="104"/>
      <c r="H56" s="109"/>
      <c r="I56" s="119"/>
      <c r="J56" s="119"/>
      <c r="K56" s="119"/>
      <c r="L56" s="119"/>
      <c r="M56" s="30"/>
      <c r="N56" s="16"/>
    </row>
    <row r="57" spans="1:14" x14ac:dyDescent="0.3">
      <c r="A57" s="106"/>
      <c r="B57" s="107"/>
      <c r="C57" s="107"/>
      <c r="D57" s="113"/>
      <c r="F57" s="103"/>
      <c r="G57" s="104"/>
      <c r="H57" s="109"/>
      <c r="I57" s="119"/>
      <c r="J57" s="119"/>
      <c r="K57" s="119"/>
      <c r="L57" s="119"/>
      <c r="M57" s="30"/>
      <c r="N57" s="16"/>
    </row>
    <row r="58" spans="1:14" x14ac:dyDescent="0.3">
      <c r="A58" s="106"/>
      <c r="B58" s="107"/>
      <c r="C58" s="107"/>
      <c r="D58" s="114"/>
      <c r="F58" s="103"/>
      <c r="G58" s="104"/>
      <c r="H58" s="109"/>
      <c r="I58" s="119"/>
      <c r="J58" s="119"/>
      <c r="K58" s="119"/>
      <c r="L58" s="119"/>
      <c r="M58" s="30"/>
      <c r="N58" s="16"/>
    </row>
    <row r="59" spans="1:14" x14ac:dyDescent="0.3">
      <c r="A59" s="106"/>
      <c r="B59" s="107"/>
      <c r="C59" s="107"/>
      <c r="D59" s="113"/>
      <c r="F59" s="103"/>
      <c r="G59" s="104"/>
      <c r="H59" s="109"/>
      <c r="I59" s="119"/>
      <c r="J59" s="190"/>
      <c r="K59" s="190"/>
      <c r="L59" s="119"/>
      <c r="M59" s="30"/>
      <c r="N59" s="16"/>
    </row>
    <row r="60" spans="1:14" x14ac:dyDescent="0.3">
      <c r="A60" s="106"/>
      <c r="B60" s="107"/>
      <c r="C60" s="107"/>
      <c r="D60" s="114"/>
      <c r="F60" s="103"/>
      <c r="G60" s="104"/>
      <c r="H60" s="109"/>
      <c r="I60" s="189"/>
      <c r="J60" s="189"/>
      <c r="K60" s="189"/>
      <c r="L60" s="189"/>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78" t="s">
        <v>56</v>
      </c>
      <c r="B65" s="179"/>
      <c r="C65" s="179"/>
      <c r="D65" s="96">
        <f>SUM(Pest_39[Amount])</f>
        <v>0</v>
      </c>
      <c r="F65" s="173" t="s">
        <v>33</v>
      </c>
      <c r="G65" s="174"/>
      <c r="H65" s="174"/>
    </row>
    <row r="66" spans="1:8" x14ac:dyDescent="0.3">
      <c r="F66" s="173"/>
      <c r="G66" s="174"/>
      <c r="H66" s="174"/>
    </row>
    <row r="67" spans="1:8" ht="17.399999999999999" x14ac:dyDescent="0.3">
      <c r="A67" s="198" t="s">
        <v>69</v>
      </c>
      <c r="B67" s="198"/>
      <c r="C67" s="198"/>
      <c r="D67" s="198"/>
      <c r="E67" s="17"/>
      <c r="F67" s="183" t="s">
        <v>57</v>
      </c>
      <c r="G67" s="184"/>
      <c r="H67" s="185"/>
    </row>
    <row r="68" spans="1:8" x14ac:dyDescent="0.3">
      <c r="A68" s="21" t="s">
        <v>21</v>
      </c>
      <c r="B68" s="22" t="s">
        <v>22</v>
      </c>
      <c r="C68" s="22" t="s">
        <v>23</v>
      </c>
      <c r="D68" s="23" t="s">
        <v>25</v>
      </c>
      <c r="E68" s="24"/>
      <c r="F68" s="186"/>
      <c r="G68" s="187"/>
      <c r="H68" s="188"/>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78" t="s">
        <v>58</v>
      </c>
      <c r="B84" s="179"/>
      <c r="C84" s="179"/>
      <c r="D84" s="96">
        <f>SUM(Garbage_39[Amount])</f>
        <v>0</v>
      </c>
      <c r="E84" s="34"/>
      <c r="F84" s="173" t="s">
        <v>33</v>
      </c>
      <c r="G84" s="174"/>
      <c r="H84" s="174"/>
    </row>
    <row r="85" spans="1:8" x14ac:dyDescent="0.3">
      <c r="A85" s="38"/>
      <c r="B85" s="38"/>
      <c r="C85" s="38"/>
      <c r="D85" s="39"/>
      <c r="E85" s="40"/>
      <c r="F85" s="173"/>
      <c r="G85" s="174"/>
      <c r="H85" s="174"/>
    </row>
    <row r="86" spans="1:8" ht="17.399999999999999" x14ac:dyDescent="0.3">
      <c r="A86" s="191" t="s">
        <v>59</v>
      </c>
      <c r="B86" s="192"/>
      <c r="C86" s="192"/>
      <c r="D86" s="193"/>
      <c r="E86" s="17"/>
      <c r="F86" s="183" t="s">
        <v>60</v>
      </c>
      <c r="G86" s="184"/>
      <c r="H86" s="185"/>
    </row>
    <row r="87" spans="1:8" x14ac:dyDescent="0.3">
      <c r="A87" s="21" t="s">
        <v>21</v>
      </c>
      <c r="B87" s="22" t="s">
        <v>22</v>
      </c>
      <c r="C87" s="22" t="s">
        <v>23</v>
      </c>
      <c r="D87" s="23" t="s">
        <v>25</v>
      </c>
      <c r="E87" s="41"/>
      <c r="F87" s="186"/>
      <c r="G87" s="187"/>
      <c r="H87" s="188"/>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78" t="s">
        <v>61</v>
      </c>
      <c r="B103" s="179"/>
      <c r="C103" s="179"/>
      <c r="D103" s="96">
        <f>SUM(Boarding_39[Amount])</f>
        <v>0</v>
      </c>
      <c r="E103" s="34"/>
      <c r="F103" s="173" t="s">
        <v>33</v>
      </c>
      <c r="G103" s="174"/>
      <c r="H103" s="174"/>
    </row>
    <row r="104" spans="1:8" x14ac:dyDescent="0.3">
      <c r="A104" s="38"/>
      <c r="B104" s="38"/>
      <c r="C104" s="38"/>
      <c r="D104" s="39"/>
      <c r="E104" s="40"/>
      <c r="F104" s="173"/>
      <c r="G104" s="174"/>
      <c r="H104" s="174"/>
    </row>
    <row r="105" spans="1:8" ht="17.399999999999999" x14ac:dyDescent="0.3">
      <c r="A105" s="191" t="s">
        <v>70</v>
      </c>
      <c r="B105" s="192"/>
      <c r="C105" s="192"/>
      <c r="D105" s="193"/>
      <c r="E105" s="17"/>
      <c r="F105" s="183" t="s">
        <v>62</v>
      </c>
      <c r="G105" s="184"/>
      <c r="H105" s="185"/>
    </row>
    <row r="106" spans="1:8" x14ac:dyDescent="0.3">
      <c r="A106" s="21" t="s">
        <v>21</v>
      </c>
      <c r="B106" s="22" t="s">
        <v>22</v>
      </c>
      <c r="C106" s="22" t="s">
        <v>23</v>
      </c>
      <c r="D106" s="23" t="s">
        <v>25</v>
      </c>
      <c r="E106" s="41"/>
      <c r="F106" s="186"/>
      <c r="G106" s="187"/>
      <c r="H106" s="188"/>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78" t="s">
        <v>63</v>
      </c>
      <c r="B122" s="179"/>
      <c r="C122" s="179"/>
      <c r="D122" s="96">
        <f>SUM(Fence_39[Amount])</f>
        <v>0</v>
      </c>
      <c r="E122" s="34"/>
      <c r="F122" s="173" t="s">
        <v>33</v>
      </c>
      <c r="G122" s="174"/>
      <c r="H122" s="174"/>
    </row>
    <row r="123" spans="1:8" x14ac:dyDescent="0.3">
      <c r="F123" s="173"/>
      <c r="G123" s="174"/>
      <c r="H123" s="174"/>
    </row>
    <row r="124" spans="1:8" ht="17.399999999999999" x14ac:dyDescent="0.3">
      <c r="A124" s="191" t="s">
        <v>26</v>
      </c>
      <c r="B124" s="192"/>
      <c r="C124" s="192"/>
      <c r="D124" s="193"/>
      <c r="E124" s="17"/>
      <c r="F124" s="183" t="s">
        <v>11</v>
      </c>
      <c r="G124" s="184"/>
      <c r="H124" s="185"/>
    </row>
    <row r="125" spans="1:8" x14ac:dyDescent="0.3">
      <c r="A125" s="21" t="s">
        <v>21</v>
      </c>
      <c r="B125" s="22" t="s">
        <v>22</v>
      </c>
      <c r="C125" s="22" t="s">
        <v>23</v>
      </c>
      <c r="D125" s="23" t="s">
        <v>25</v>
      </c>
      <c r="E125" s="41"/>
      <c r="F125" s="186"/>
      <c r="G125" s="187"/>
      <c r="H125" s="188"/>
    </row>
    <row r="126" spans="1:8" x14ac:dyDescent="0.3">
      <c r="A126" s="100"/>
      <c r="B126" s="101"/>
      <c r="C126" s="101"/>
      <c r="D126" s="112">
        <v>21210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78" t="s">
        <v>27</v>
      </c>
      <c r="B141" s="179"/>
      <c r="C141" s="179"/>
      <c r="D141" s="96">
        <f>SUM(Demolition_39[Amount])</f>
        <v>21210</v>
      </c>
      <c r="E141" s="34"/>
      <c r="F141" s="173" t="s">
        <v>33</v>
      </c>
      <c r="G141" s="174"/>
      <c r="H141" s="174"/>
    </row>
    <row r="142" spans="1:8" x14ac:dyDescent="0.3">
      <c r="A142" s="38"/>
      <c r="B142" s="38"/>
      <c r="C142" s="38"/>
      <c r="D142" s="39"/>
      <c r="E142" s="40"/>
      <c r="F142" s="173"/>
      <c r="G142" s="174"/>
      <c r="H142" s="174"/>
    </row>
    <row r="143" spans="1:8" ht="17.399999999999999" x14ac:dyDescent="0.3">
      <c r="A143" s="191" t="s">
        <v>64</v>
      </c>
      <c r="B143" s="192"/>
      <c r="C143" s="192"/>
      <c r="D143" s="193"/>
      <c r="E143" s="17"/>
      <c r="F143" s="183" t="s">
        <v>44</v>
      </c>
      <c r="G143" s="184"/>
      <c r="H143" s="185"/>
    </row>
    <row r="144" spans="1:8" x14ac:dyDescent="0.3">
      <c r="A144" s="21" t="s">
        <v>21</v>
      </c>
      <c r="B144" s="22" t="s">
        <v>22</v>
      </c>
      <c r="C144" s="22" t="s">
        <v>23</v>
      </c>
      <c r="D144" s="23" t="s">
        <v>25</v>
      </c>
      <c r="E144" s="41"/>
      <c r="F144" s="186"/>
      <c r="G144" s="187"/>
      <c r="H144" s="188"/>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78" t="s">
        <v>65</v>
      </c>
      <c r="B160" s="179"/>
      <c r="C160" s="179"/>
      <c r="D160" s="96">
        <f>SUM(Rehab_39[Amount])</f>
        <v>0</v>
      </c>
      <c r="E160" s="34"/>
      <c r="F160" s="173" t="s">
        <v>33</v>
      </c>
      <c r="G160" s="174"/>
      <c r="H160" s="174"/>
    </row>
    <row r="161" spans="6:8" x14ac:dyDescent="0.3">
      <c r="F161" s="173"/>
      <c r="G161" s="174"/>
      <c r="H161" s="174"/>
    </row>
  </sheetData>
  <sheetProtection algorithmName="SHA-512" hashValue="ByFx7259tE52YVLo5NrEmRALV4kvmEindMYNFE306FpmOkfhb6K7bLd3jTFqjjDE8thh5XrsLuV5Qgl7Hrvs8g==" saltValue="dEDhY4mZcbViDhvQKK8W8g=="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N161"/>
  <sheetViews>
    <sheetView showGridLines="0" zoomScaleNormal="100" workbookViewId="0">
      <pane ySplit="9" topLeftCell="A115"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5" t="s">
        <v>24</v>
      </c>
      <c r="B1" s="175"/>
      <c r="C1" s="175"/>
      <c r="D1" s="175"/>
      <c r="E1" s="1"/>
      <c r="F1" s="2"/>
      <c r="G1" s="2"/>
      <c r="H1" s="1"/>
    </row>
    <row r="2" spans="1:14" ht="24.9" customHeight="1" x14ac:dyDescent="0.3">
      <c r="A2" s="176" t="s">
        <v>71</v>
      </c>
      <c r="B2" s="176"/>
      <c r="C2" s="176"/>
      <c r="D2" s="176"/>
      <c r="E2" s="4"/>
      <c r="F2" s="120"/>
      <c r="G2" s="120"/>
      <c r="H2" s="5"/>
    </row>
    <row r="3" spans="1:14" ht="31.5" customHeight="1" x14ac:dyDescent="0.3">
      <c r="A3" s="176"/>
      <c r="B3" s="176"/>
      <c r="C3" s="176"/>
      <c r="D3" s="176"/>
      <c r="E3" s="4"/>
      <c r="F3" s="120"/>
      <c r="G3" s="120"/>
      <c r="H3" s="5"/>
    </row>
    <row r="4" spans="1:14" ht="15" customHeight="1" x14ac:dyDescent="0.25">
      <c r="A4" s="75" t="s">
        <v>19</v>
      </c>
      <c r="B4" s="194" t="str">
        <f>IF('Summary Sheet'!B72="","",'Summary Sheet'!B72)</f>
        <v>2018 W 68TH PL</v>
      </c>
      <c r="C4" s="194"/>
      <c r="D4" s="120"/>
      <c r="E4" s="4"/>
      <c r="F4" s="120"/>
      <c r="G4" s="120"/>
      <c r="H4" s="5"/>
    </row>
    <row r="5" spans="1:14" ht="15" customHeight="1" x14ac:dyDescent="0.25">
      <c r="A5" s="75" t="s">
        <v>20</v>
      </c>
      <c r="B5" s="195" t="str">
        <f>IF('Summary Sheet'!C72="","",'Summary Sheet'!C72)</f>
        <v/>
      </c>
      <c r="C5" s="195"/>
      <c r="D5" s="120"/>
      <c r="E5" s="4"/>
      <c r="F5" s="120"/>
      <c r="G5" s="120"/>
      <c r="H5" s="5"/>
    </row>
    <row r="6" spans="1:14" ht="15" customHeight="1" x14ac:dyDescent="0.25">
      <c r="A6" s="75" t="s">
        <v>36</v>
      </c>
      <c r="B6" s="177"/>
      <c r="C6" s="177"/>
      <c r="D6" s="6"/>
      <c r="E6" s="7"/>
    </row>
    <row r="7" spans="1:14" ht="15" customHeight="1" x14ac:dyDescent="0.25">
      <c r="A7" s="7"/>
      <c r="B7" s="196" t="s">
        <v>34</v>
      </c>
      <c r="C7" s="196"/>
      <c r="D7" s="10"/>
    </row>
    <row r="8" spans="1:14" ht="20.100000000000001" customHeight="1" x14ac:dyDescent="0.25">
      <c r="B8" s="11"/>
      <c r="C8" s="11"/>
      <c r="D8" s="12" t="s">
        <v>31</v>
      </c>
      <c r="F8" s="180" t="s">
        <v>32</v>
      </c>
      <c r="G8" s="181"/>
      <c r="H8" s="182"/>
    </row>
    <row r="9" spans="1:14" s="14" customFormat="1" ht="20.100000000000001" customHeight="1" x14ac:dyDescent="0.25">
      <c r="A9" s="197"/>
      <c r="B9" s="197"/>
      <c r="C9" s="197"/>
      <c r="D9" s="13">
        <f>SUM(D27,D46,D65,D84,D103,D122,D141,D160)</f>
        <v>26210</v>
      </c>
      <c r="F9" s="15" t="s">
        <v>28</v>
      </c>
      <c r="G9" s="15" t="s">
        <v>29</v>
      </c>
      <c r="H9" s="15" t="s">
        <v>30</v>
      </c>
      <c r="I9" s="16"/>
      <c r="J9" s="16"/>
      <c r="K9" s="16"/>
      <c r="L9" s="16"/>
      <c r="M9" s="16"/>
      <c r="N9" s="16"/>
    </row>
    <row r="10" spans="1:14" s="17" customFormat="1" ht="23.1" customHeight="1" x14ac:dyDescent="0.3">
      <c r="A10" s="198" t="s">
        <v>51</v>
      </c>
      <c r="B10" s="198"/>
      <c r="C10" s="198"/>
      <c r="D10" s="198"/>
      <c r="F10" s="183" t="s">
        <v>66</v>
      </c>
      <c r="G10" s="184"/>
      <c r="H10" s="185"/>
      <c r="I10" s="18"/>
      <c r="J10" s="18"/>
      <c r="K10" s="18"/>
      <c r="L10" s="18"/>
      <c r="M10" s="19"/>
      <c r="N10" s="20"/>
    </row>
    <row r="11" spans="1:14" s="24" customFormat="1" ht="12.75" customHeight="1" x14ac:dyDescent="0.25">
      <c r="A11" s="21" t="s">
        <v>21</v>
      </c>
      <c r="B11" s="22" t="s">
        <v>22</v>
      </c>
      <c r="C11" s="22" t="s">
        <v>23</v>
      </c>
      <c r="D11" s="23" t="s">
        <v>25</v>
      </c>
      <c r="F11" s="186"/>
      <c r="G11" s="187"/>
      <c r="H11" s="188"/>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78" t="s">
        <v>53</v>
      </c>
      <c r="B27" s="179"/>
      <c r="C27" s="179"/>
      <c r="D27" s="96">
        <f>SUM(Grass_40[Amount])</f>
        <v>0</v>
      </c>
      <c r="F27" s="173" t="s">
        <v>33</v>
      </c>
      <c r="G27" s="174"/>
      <c r="H27" s="174"/>
      <c r="I27" s="35"/>
      <c r="J27" s="35"/>
      <c r="K27" s="35"/>
      <c r="L27" s="35"/>
      <c r="M27" s="36"/>
      <c r="N27" s="37"/>
    </row>
    <row r="28" spans="1:14" s="40" customFormat="1" ht="11.1" customHeight="1" x14ac:dyDescent="0.3">
      <c r="A28" s="38"/>
      <c r="B28" s="38"/>
      <c r="C28" s="38"/>
      <c r="D28" s="39"/>
      <c r="F28" s="173"/>
      <c r="G28" s="174"/>
      <c r="H28" s="174"/>
      <c r="I28" s="35"/>
      <c r="J28" s="35"/>
      <c r="K28" s="35"/>
      <c r="L28" s="35"/>
      <c r="M28" s="36"/>
      <c r="N28" s="37"/>
    </row>
    <row r="29" spans="1:14" s="17" customFormat="1" ht="23.1" customHeight="1" x14ac:dyDescent="0.3">
      <c r="A29" s="191" t="s">
        <v>67</v>
      </c>
      <c r="B29" s="192"/>
      <c r="C29" s="192"/>
      <c r="D29" s="193"/>
      <c r="F29" s="183" t="s">
        <v>52</v>
      </c>
      <c r="G29" s="184"/>
      <c r="H29" s="185"/>
      <c r="I29" s="18"/>
      <c r="J29" s="18"/>
      <c r="K29" s="18"/>
      <c r="L29" s="18"/>
      <c r="M29" s="19"/>
      <c r="N29" s="20"/>
    </row>
    <row r="30" spans="1:14" s="41" customFormat="1" ht="12.75" customHeight="1" x14ac:dyDescent="0.25">
      <c r="A30" s="21" t="s">
        <v>21</v>
      </c>
      <c r="B30" s="22" t="s">
        <v>22</v>
      </c>
      <c r="C30" s="22" t="s">
        <v>23</v>
      </c>
      <c r="D30" s="23" t="s">
        <v>25</v>
      </c>
      <c r="F30" s="186"/>
      <c r="G30" s="187"/>
      <c r="H30" s="188"/>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19"/>
      <c r="J44" s="29"/>
      <c r="K44" s="29"/>
      <c r="L44" s="119"/>
      <c r="M44" s="30"/>
      <c r="N44" s="16"/>
    </row>
    <row r="45" spans="1:14" x14ac:dyDescent="0.3">
      <c r="A45" s="106"/>
      <c r="B45" s="107"/>
      <c r="C45" s="107"/>
      <c r="D45" s="114"/>
      <c r="F45" s="103"/>
      <c r="G45" s="104"/>
      <c r="H45" s="109"/>
      <c r="I45" s="119"/>
      <c r="J45" s="29"/>
      <c r="K45" s="29"/>
      <c r="L45" s="119"/>
      <c r="M45" s="30"/>
      <c r="N45" s="16"/>
    </row>
    <row r="46" spans="1:14" s="34" customFormat="1" x14ac:dyDescent="0.3">
      <c r="A46" s="178" t="s">
        <v>54</v>
      </c>
      <c r="B46" s="179"/>
      <c r="C46" s="179"/>
      <c r="D46" s="96">
        <f>SUM(Tree_40[Amount])</f>
        <v>0</v>
      </c>
      <c r="F46" s="173" t="s">
        <v>33</v>
      </c>
      <c r="G46" s="174"/>
      <c r="H46" s="174"/>
      <c r="I46" s="43"/>
      <c r="J46" s="43"/>
      <c r="K46" s="43"/>
      <c r="L46" s="43"/>
      <c r="M46" s="36"/>
      <c r="N46" s="37"/>
    </row>
    <row r="47" spans="1:14" s="40" customFormat="1" ht="11.1" customHeight="1" x14ac:dyDescent="0.3">
      <c r="A47" s="38"/>
      <c r="B47" s="38"/>
      <c r="C47" s="38"/>
      <c r="D47" s="39"/>
      <c r="F47" s="173"/>
      <c r="G47" s="174"/>
      <c r="H47" s="174"/>
      <c r="I47" s="43"/>
      <c r="J47" s="43"/>
      <c r="K47" s="43"/>
      <c r="L47" s="43"/>
      <c r="M47" s="36"/>
      <c r="N47" s="37"/>
    </row>
    <row r="48" spans="1:14" s="17" customFormat="1" ht="23.1" customHeight="1" x14ac:dyDescent="0.3">
      <c r="A48" s="191" t="s">
        <v>68</v>
      </c>
      <c r="B48" s="192"/>
      <c r="C48" s="192"/>
      <c r="D48" s="193"/>
      <c r="F48" s="183" t="s">
        <v>55</v>
      </c>
      <c r="G48" s="184"/>
      <c r="H48" s="185"/>
      <c r="I48" s="44"/>
      <c r="J48" s="44"/>
      <c r="K48" s="44"/>
      <c r="L48" s="44"/>
      <c r="M48" s="19"/>
      <c r="N48" s="20"/>
    </row>
    <row r="49" spans="1:14" s="41" customFormat="1" ht="12.75" customHeight="1" x14ac:dyDescent="0.25">
      <c r="A49" s="21" t="s">
        <v>21</v>
      </c>
      <c r="B49" s="22" t="s">
        <v>22</v>
      </c>
      <c r="C49" s="22" t="s">
        <v>23</v>
      </c>
      <c r="D49" s="23" t="s">
        <v>25</v>
      </c>
      <c r="F49" s="186"/>
      <c r="G49" s="187"/>
      <c r="H49" s="188"/>
      <c r="I49" s="119"/>
      <c r="J49" s="119"/>
      <c r="K49" s="119"/>
      <c r="L49" s="119"/>
      <c r="M49" s="30"/>
      <c r="N49" s="42"/>
    </row>
    <row r="50" spans="1:14" x14ac:dyDescent="0.3">
      <c r="A50" s="100"/>
      <c r="B50" s="101"/>
      <c r="C50" s="101"/>
      <c r="D50" s="112"/>
      <c r="F50" s="103"/>
      <c r="G50" s="104"/>
      <c r="H50" s="109"/>
      <c r="I50" s="119"/>
      <c r="J50" s="119"/>
      <c r="K50" s="119"/>
      <c r="L50" s="119"/>
      <c r="M50" s="30"/>
      <c r="N50" s="16"/>
    </row>
    <row r="51" spans="1:14" x14ac:dyDescent="0.3">
      <c r="A51" s="106"/>
      <c r="B51" s="107"/>
      <c r="C51" s="107"/>
      <c r="D51" s="113"/>
      <c r="F51" s="103"/>
      <c r="G51" s="104"/>
      <c r="H51" s="109"/>
      <c r="I51" s="119"/>
      <c r="J51" s="119"/>
      <c r="K51" s="119"/>
      <c r="L51" s="119"/>
      <c r="M51" s="30"/>
      <c r="N51" s="16"/>
    </row>
    <row r="52" spans="1:14" x14ac:dyDescent="0.3">
      <c r="A52" s="106"/>
      <c r="B52" s="107"/>
      <c r="C52" s="107"/>
      <c r="D52" s="114"/>
      <c r="F52" s="103"/>
      <c r="H52" s="109"/>
      <c r="I52" s="119"/>
      <c r="J52" s="119"/>
      <c r="K52" s="119"/>
      <c r="L52" s="119"/>
      <c r="M52" s="30"/>
      <c r="N52" s="16"/>
    </row>
    <row r="53" spans="1:14" x14ac:dyDescent="0.3">
      <c r="A53" s="106"/>
      <c r="B53" s="107"/>
      <c r="C53" s="107"/>
      <c r="D53" s="113"/>
      <c r="F53" s="103"/>
      <c r="G53" s="104"/>
      <c r="H53" s="109"/>
      <c r="I53" s="119"/>
      <c r="J53" s="119"/>
      <c r="K53" s="119"/>
      <c r="L53" s="119"/>
      <c r="M53" s="30"/>
      <c r="N53" s="16"/>
    </row>
    <row r="54" spans="1:14" x14ac:dyDescent="0.3">
      <c r="A54" s="106"/>
      <c r="B54" s="107"/>
      <c r="C54" s="107"/>
      <c r="D54" s="114"/>
      <c r="F54" s="103"/>
      <c r="G54" s="104"/>
      <c r="H54" s="109"/>
      <c r="I54" s="119"/>
      <c r="J54" s="119"/>
      <c r="K54" s="119"/>
      <c r="L54" s="119"/>
      <c r="M54" s="30"/>
      <c r="N54" s="16"/>
    </row>
    <row r="55" spans="1:14" x14ac:dyDescent="0.3">
      <c r="A55" s="106"/>
      <c r="B55" s="107"/>
      <c r="C55" s="107"/>
      <c r="D55" s="113"/>
      <c r="F55" s="103"/>
      <c r="G55" s="104"/>
      <c r="H55" s="109"/>
      <c r="I55" s="119"/>
      <c r="J55" s="119"/>
      <c r="K55" s="119"/>
      <c r="L55" s="119"/>
      <c r="M55" s="30"/>
      <c r="N55" s="16"/>
    </row>
    <row r="56" spans="1:14" x14ac:dyDescent="0.3">
      <c r="A56" s="106"/>
      <c r="B56" s="107"/>
      <c r="C56" s="107"/>
      <c r="D56" s="114"/>
      <c r="F56" s="103"/>
      <c r="G56" s="104"/>
      <c r="H56" s="109"/>
      <c r="I56" s="119"/>
      <c r="J56" s="119"/>
      <c r="K56" s="119"/>
      <c r="L56" s="119"/>
      <c r="M56" s="30"/>
      <c r="N56" s="16"/>
    </row>
    <row r="57" spans="1:14" x14ac:dyDescent="0.3">
      <c r="A57" s="106"/>
      <c r="B57" s="107"/>
      <c r="C57" s="107"/>
      <c r="D57" s="113"/>
      <c r="F57" s="103"/>
      <c r="G57" s="104"/>
      <c r="H57" s="109"/>
      <c r="I57" s="119"/>
      <c r="J57" s="119"/>
      <c r="K57" s="119"/>
      <c r="L57" s="119"/>
      <c r="M57" s="30"/>
      <c r="N57" s="16"/>
    </row>
    <row r="58" spans="1:14" x14ac:dyDescent="0.3">
      <c r="A58" s="106"/>
      <c r="B58" s="107"/>
      <c r="C58" s="107"/>
      <c r="D58" s="114"/>
      <c r="F58" s="103"/>
      <c r="G58" s="104"/>
      <c r="H58" s="109"/>
      <c r="I58" s="119"/>
      <c r="J58" s="119"/>
      <c r="K58" s="119"/>
      <c r="L58" s="119"/>
      <c r="M58" s="30"/>
      <c r="N58" s="16"/>
    </row>
    <row r="59" spans="1:14" x14ac:dyDescent="0.3">
      <c r="A59" s="106"/>
      <c r="B59" s="107"/>
      <c r="C59" s="107"/>
      <c r="D59" s="113"/>
      <c r="F59" s="103"/>
      <c r="G59" s="104"/>
      <c r="H59" s="109"/>
      <c r="I59" s="119"/>
      <c r="J59" s="190"/>
      <c r="K59" s="190"/>
      <c r="L59" s="119"/>
      <c r="M59" s="30"/>
      <c r="N59" s="16"/>
    </row>
    <row r="60" spans="1:14" x14ac:dyDescent="0.3">
      <c r="A60" s="106"/>
      <c r="B60" s="107"/>
      <c r="C60" s="107"/>
      <c r="D60" s="114"/>
      <c r="F60" s="103"/>
      <c r="G60" s="104"/>
      <c r="H60" s="109"/>
      <c r="I60" s="189"/>
      <c r="J60" s="189"/>
      <c r="K60" s="189"/>
      <c r="L60" s="189"/>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78" t="s">
        <v>56</v>
      </c>
      <c r="B65" s="179"/>
      <c r="C65" s="179"/>
      <c r="D65" s="96">
        <f>SUM(Pest_40[Amount])</f>
        <v>0</v>
      </c>
      <c r="F65" s="173" t="s">
        <v>33</v>
      </c>
      <c r="G65" s="174"/>
      <c r="H65" s="174"/>
    </row>
    <row r="66" spans="1:8" x14ac:dyDescent="0.3">
      <c r="F66" s="173"/>
      <c r="G66" s="174"/>
      <c r="H66" s="174"/>
    </row>
    <row r="67" spans="1:8" ht="17.399999999999999" x14ac:dyDescent="0.3">
      <c r="A67" s="198" t="s">
        <v>69</v>
      </c>
      <c r="B67" s="198"/>
      <c r="C67" s="198"/>
      <c r="D67" s="198"/>
      <c r="E67" s="17"/>
      <c r="F67" s="183" t="s">
        <v>57</v>
      </c>
      <c r="G67" s="184"/>
      <c r="H67" s="185"/>
    </row>
    <row r="68" spans="1:8" x14ac:dyDescent="0.3">
      <c r="A68" s="21" t="s">
        <v>21</v>
      </c>
      <c r="B68" s="22" t="s">
        <v>22</v>
      </c>
      <c r="C68" s="22" t="s">
        <v>23</v>
      </c>
      <c r="D68" s="23" t="s">
        <v>25</v>
      </c>
      <c r="E68" s="24"/>
      <c r="F68" s="186"/>
      <c r="G68" s="187"/>
      <c r="H68" s="188"/>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78" t="s">
        <v>58</v>
      </c>
      <c r="B84" s="179"/>
      <c r="C84" s="179"/>
      <c r="D84" s="96">
        <f>SUM(Garbage_40[Amount])</f>
        <v>0</v>
      </c>
      <c r="E84" s="34"/>
      <c r="F84" s="173" t="s">
        <v>33</v>
      </c>
      <c r="G84" s="174"/>
      <c r="H84" s="174"/>
    </row>
    <row r="85" spans="1:8" x14ac:dyDescent="0.3">
      <c r="A85" s="38"/>
      <c r="B85" s="38"/>
      <c r="C85" s="38"/>
      <c r="D85" s="39"/>
      <c r="E85" s="40"/>
      <c r="F85" s="173"/>
      <c r="G85" s="174"/>
      <c r="H85" s="174"/>
    </row>
    <row r="86" spans="1:8" ht="17.399999999999999" x14ac:dyDescent="0.3">
      <c r="A86" s="191" t="s">
        <v>59</v>
      </c>
      <c r="B86" s="192"/>
      <c r="C86" s="192"/>
      <c r="D86" s="193"/>
      <c r="E86" s="17"/>
      <c r="F86" s="183" t="s">
        <v>60</v>
      </c>
      <c r="G86" s="184"/>
      <c r="H86" s="185"/>
    </row>
    <row r="87" spans="1:8" x14ac:dyDescent="0.3">
      <c r="A87" s="21" t="s">
        <v>21</v>
      </c>
      <c r="B87" s="22" t="s">
        <v>22</v>
      </c>
      <c r="C87" s="22" t="s">
        <v>23</v>
      </c>
      <c r="D87" s="23" t="s">
        <v>25</v>
      </c>
      <c r="E87" s="41"/>
      <c r="F87" s="186"/>
      <c r="G87" s="187"/>
      <c r="H87" s="188"/>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78" t="s">
        <v>61</v>
      </c>
      <c r="B103" s="179"/>
      <c r="C103" s="179"/>
      <c r="D103" s="96">
        <f>SUM(Boarding_40[Amount])</f>
        <v>0</v>
      </c>
      <c r="E103" s="34"/>
      <c r="F103" s="173" t="s">
        <v>33</v>
      </c>
      <c r="G103" s="174"/>
      <c r="H103" s="174"/>
    </row>
    <row r="104" spans="1:8" x14ac:dyDescent="0.3">
      <c r="A104" s="38"/>
      <c r="B104" s="38"/>
      <c r="C104" s="38"/>
      <c r="D104" s="39"/>
      <c r="E104" s="40"/>
      <c r="F104" s="173"/>
      <c r="G104" s="174"/>
      <c r="H104" s="174"/>
    </row>
    <row r="105" spans="1:8" ht="17.399999999999999" x14ac:dyDescent="0.3">
      <c r="A105" s="191" t="s">
        <v>70</v>
      </c>
      <c r="B105" s="192"/>
      <c r="C105" s="192"/>
      <c r="D105" s="193"/>
      <c r="E105" s="17"/>
      <c r="F105" s="183" t="s">
        <v>62</v>
      </c>
      <c r="G105" s="184"/>
      <c r="H105" s="185"/>
    </row>
    <row r="106" spans="1:8" x14ac:dyDescent="0.3">
      <c r="A106" s="21" t="s">
        <v>21</v>
      </c>
      <c r="B106" s="22" t="s">
        <v>22</v>
      </c>
      <c r="C106" s="22" t="s">
        <v>23</v>
      </c>
      <c r="D106" s="23" t="s">
        <v>25</v>
      </c>
      <c r="E106" s="41"/>
      <c r="F106" s="186"/>
      <c r="G106" s="187"/>
      <c r="H106" s="188"/>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78" t="s">
        <v>63</v>
      </c>
      <c r="B122" s="179"/>
      <c r="C122" s="179"/>
      <c r="D122" s="96">
        <f>SUM(Fence_40[Amount])</f>
        <v>0</v>
      </c>
      <c r="E122" s="34"/>
      <c r="F122" s="173" t="s">
        <v>33</v>
      </c>
      <c r="G122" s="174"/>
      <c r="H122" s="174"/>
    </row>
    <row r="123" spans="1:8" x14ac:dyDescent="0.3">
      <c r="F123" s="173"/>
      <c r="G123" s="174"/>
      <c r="H123" s="174"/>
    </row>
    <row r="124" spans="1:8" ht="17.399999999999999" x14ac:dyDescent="0.3">
      <c r="A124" s="191" t="s">
        <v>26</v>
      </c>
      <c r="B124" s="192"/>
      <c r="C124" s="192"/>
      <c r="D124" s="193"/>
      <c r="E124" s="17"/>
      <c r="F124" s="183" t="s">
        <v>11</v>
      </c>
      <c r="G124" s="184"/>
      <c r="H124" s="185"/>
    </row>
    <row r="125" spans="1:8" x14ac:dyDescent="0.3">
      <c r="A125" s="21" t="s">
        <v>21</v>
      </c>
      <c r="B125" s="22" t="s">
        <v>22</v>
      </c>
      <c r="C125" s="22" t="s">
        <v>23</v>
      </c>
      <c r="D125" s="23" t="s">
        <v>25</v>
      </c>
      <c r="E125" s="41"/>
      <c r="F125" s="186"/>
      <c r="G125" s="187"/>
      <c r="H125" s="188"/>
    </row>
    <row r="126" spans="1:8" x14ac:dyDescent="0.3">
      <c r="A126" s="100"/>
      <c r="B126" s="101"/>
      <c r="C126" s="101"/>
      <c r="D126" s="112">
        <v>26210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78" t="s">
        <v>27</v>
      </c>
      <c r="B141" s="179"/>
      <c r="C141" s="179"/>
      <c r="D141" s="96">
        <f>SUM(Demolition_40[Amount])</f>
        <v>26210</v>
      </c>
      <c r="E141" s="34"/>
      <c r="F141" s="173" t="s">
        <v>33</v>
      </c>
      <c r="G141" s="174"/>
      <c r="H141" s="174"/>
    </row>
    <row r="142" spans="1:8" x14ac:dyDescent="0.3">
      <c r="A142" s="38"/>
      <c r="B142" s="38"/>
      <c r="C142" s="38"/>
      <c r="D142" s="39"/>
      <c r="E142" s="40"/>
      <c r="F142" s="173"/>
      <c r="G142" s="174"/>
      <c r="H142" s="174"/>
    </row>
    <row r="143" spans="1:8" ht="17.399999999999999" x14ac:dyDescent="0.3">
      <c r="A143" s="191" t="s">
        <v>64</v>
      </c>
      <c r="B143" s="192"/>
      <c r="C143" s="192"/>
      <c r="D143" s="193"/>
      <c r="E143" s="17"/>
      <c r="F143" s="183" t="s">
        <v>44</v>
      </c>
      <c r="G143" s="184"/>
      <c r="H143" s="185"/>
    </row>
    <row r="144" spans="1:8" x14ac:dyDescent="0.3">
      <c r="A144" s="21" t="s">
        <v>21</v>
      </c>
      <c r="B144" s="22" t="s">
        <v>22</v>
      </c>
      <c r="C144" s="22" t="s">
        <v>23</v>
      </c>
      <c r="D144" s="23" t="s">
        <v>25</v>
      </c>
      <c r="E144" s="41"/>
      <c r="F144" s="186"/>
      <c r="G144" s="187"/>
      <c r="H144" s="188"/>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78" t="s">
        <v>65</v>
      </c>
      <c r="B160" s="179"/>
      <c r="C160" s="179"/>
      <c r="D160" s="96">
        <f>SUM(Rehab_40[Amount])</f>
        <v>0</v>
      </c>
      <c r="E160" s="34"/>
      <c r="F160" s="173" t="s">
        <v>33</v>
      </c>
      <c r="G160" s="174"/>
      <c r="H160" s="174"/>
    </row>
    <row r="161" spans="6:8" x14ac:dyDescent="0.3">
      <c r="F161" s="173"/>
      <c r="G161" s="174"/>
      <c r="H161" s="174"/>
    </row>
  </sheetData>
  <sheetProtection algorithmName="SHA-512" hashValue="ILF8hGYmu65a2Ujf7gioVhWvBtv2qYNdbgNzxSDpCD2oPV8BS5abpwTS0a7KkTOWNjgG64/gPNEE/qF3kBnrDQ==" saltValue="saW7RJHn5h6qlFItFWrW5A=="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pageSetUpPr fitToPage="1"/>
  </sheetPr>
  <dimension ref="A1:N161"/>
  <sheetViews>
    <sheetView showGridLines="0" zoomScaleNormal="100" workbookViewId="0">
      <pane ySplit="9" topLeftCell="A121" activePane="bottomLeft" state="frozen"/>
      <selection activeCell="F10" sqref="F10:H11"/>
      <selection pane="bottomLeft" activeCell="D126" sqref="D126"/>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5" t="s">
        <v>24</v>
      </c>
      <c r="B1" s="175"/>
      <c r="C1" s="175"/>
      <c r="D1" s="175"/>
      <c r="E1" s="1"/>
      <c r="F1" s="2"/>
      <c r="G1" s="2"/>
      <c r="H1" s="1"/>
    </row>
    <row r="2" spans="1:14" ht="24.9" customHeight="1" x14ac:dyDescent="0.3">
      <c r="A2" s="176" t="s">
        <v>71</v>
      </c>
      <c r="B2" s="176"/>
      <c r="C2" s="176"/>
      <c r="D2" s="176"/>
      <c r="E2" s="4"/>
      <c r="F2" s="120"/>
      <c r="G2" s="120"/>
      <c r="H2" s="5"/>
    </row>
    <row r="3" spans="1:14" ht="31.5" customHeight="1" x14ac:dyDescent="0.3">
      <c r="A3" s="176"/>
      <c r="B3" s="176"/>
      <c r="C3" s="176"/>
      <c r="D3" s="176"/>
      <c r="E3" s="4"/>
      <c r="F3" s="120"/>
      <c r="G3" s="120"/>
      <c r="H3" s="5"/>
    </row>
    <row r="4" spans="1:14" ht="15" customHeight="1" x14ac:dyDescent="0.25">
      <c r="A4" s="75" t="s">
        <v>19</v>
      </c>
      <c r="B4" s="194" t="str">
        <f>IF('Summary Sheet'!B73="","",'Summary Sheet'!B73)</f>
        <v>2022 W 68TH PL</v>
      </c>
      <c r="C4" s="194"/>
      <c r="D4" s="120"/>
      <c r="E4" s="4"/>
      <c r="F4" s="120"/>
      <c r="G4" s="120"/>
      <c r="H4" s="5"/>
    </row>
    <row r="5" spans="1:14" ht="15" customHeight="1" x14ac:dyDescent="0.25">
      <c r="A5" s="75" t="s">
        <v>20</v>
      </c>
      <c r="B5" s="195" t="str">
        <f>IF('Summary Sheet'!C73="","",'Summary Sheet'!C73)</f>
        <v/>
      </c>
      <c r="C5" s="195"/>
      <c r="D5" s="120"/>
      <c r="E5" s="4"/>
      <c r="F5" s="120"/>
      <c r="G5" s="120"/>
      <c r="H5" s="5"/>
    </row>
    <row r="6" spans="1:14" ht="15" customHeight="1" x14ac:dyDescent="0.25">
      <c r="A6" s="75" t="s">
        <v>36</v>
      </c>
      <c r="B6" s="177"/>
      <c r="C6" s="177"/>
      <c r="D6" s="6"/>
      <c r="E6" s="7"/>
    </row>
    <row r="7" spans="1:14" ht="15" customHeight="1" x14ac:dyDescent="0.25">
      <c r="A7" s="7"/>
      <c r="B7" s="196" t="s">
        <v>34</v>
      </c>
      <c r="C7" s="196"/>
      <c r="D7" s="10"/>
    </row>
    <row r="8" spans="1:14" ht="20.100000000000001" customHeight="1" x14ac:dyDescent="0.25">
      <c r="B8" s="11"/>
      <c r="C8" s="11"/>
      <c r="D8" s="12" t="s">
        <v>31</v>
      </c>
      <c r="F8" s="180" t="s">
        <v>32</v>
      </c>
      <c r="G8" s="181"/>
      <c r="H8" s="182"/>
    </row>
    <row r="9" spans="1:14" s="14" customFormat="1" ht="20.100000000000001" customHeight="1" x14ac:dyDescent="0.25">
      <c r="A9" s="197"/>
      <c r="B9" s="197"/>
      <c r="C9" s="197"/>
      <c r="D9" s="13">
        <f>SUM(D27,D46,D65,D84,D103,D122,D141,D160)</f>
        <v>26210</v>
      </c>
      <c r="F9" s="15" t="s">
        <v>28</v>
      </c>
      <c r="G9" s="15" t="s">
        <v>29</v>
      </c>
      <c r="H9" s="15" t="s">
        <v>30</v>
      </c>
      <c r="I9" s="16"/>
      <c r="J9" s="16"/>
      <c r="K9" s="16"/>
      <c r="L9" s="16"/>
      <c r="M9" s="16"/>
      <c r="N9" s="16"/>
    </row>
    <row r="10" spans="1:14" s="17" customFormat="1" ht="23.1" customHeight="1" x14ac:dyDescent="0.3">
      <c r="A10" s="198" t="s">
        <v>51</v>
      </c>
      <c r="B10" s="198"/>
      <c r="C10" s="198"/>
      <c r="D10" s="198"/>
      <c r="F10" s="183" t="s">
        <v>66</v>
      </c>
      <c r="G10" s="184"/>
      <c r="H10" s="185"/>
      <c r="I10" s="18"/>
      <c r="J10" s="18"/>
      <c r="K10" s="18"/>
      <c r="L10" s="18"/>
      <c r="M10" s="19"/>
      <c r="N10" s="20"/>
    </row>
    <row r="11" spans="1:14" s="24" customFormat="1" ht="12.75" customHeight="1" x14ac:dyDescent="0.25">
      <c r="A11" s="21" t="s">
        <v>21</v>
      </c>
      <c r="B11" s="22" t="s">
        <v>22</v>
      </c>
      <c r="C11" s="22" t="s">
        <v>23</v>
      </c>
      <c r="D11" s="23" t="s">
        <v>25</v>
      </c>
      <c r="F11" s="186"/>
      <c r="G11" s="187"/>
      <c r="H11" s="188"/>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78" t="s">
        <v>53</v>
      </c>
      <c r="B27" s="179"/>
      <c r="C27" s="179"/>
      <c r="D27" s="96">
        <f>SUM(Grass_41[Amount])</f>
        <v>0</v>
      </c>
      <c r="F27" s="173" t="s">
        <v>33</v>
      </c>
      <c r="G27" s="174"/>
      <c r="H27" s="174"/>
      <c r="I27" s="35"/>
      <c r="J27" s="35"/>
      <c r="K27" s="35"/>
      <c r="L27" s="35"/>
      <c r="M27" s="36"/>
      <c r="N27" s="37"/>
    </row>
    <row r="28" spans="1:14" s="40" customFormat="1" ht="11.1" customHeight="1" x14ac:dyDescent="0.3">
      <c r="A28" s="38"/>
      <c r="B28" s="38"/>
      <c r="C28" s="38"/>
      <c r="D28" s="39"/>
      <c r="F28" s="173"/>
      <c r="G28" s="174"/>
      <c r="H28" s="174"/>
      <c r="I28" s="35"/>
      <c r="J28" s="35"/>
      <c r="K28" s="35"/>
      <c r="L28" s="35"/>
      <c r="M28" s="36"/>
      <c r="N28" s="37"/>
    </row>
    <row r="29" spans="1:14" s="17" customFormat="1" ht="23.1" customHeight="1" x14ac:dyDescent="0.3">
      <c r="A29" s="191" t="s">
        <v>67</v>
      </c>
      <c r="B29" s="192"/>
      <c r="C29" s="192"/>
      <c r="D29" s="193"/>
      <c r="F29" s="183" t="s">
        <v>52</v>
      </c>
      <c r="G29" s="184"/>
      <c r="H29" s="185"/>
      <c r="I29" s="18"/>
      <c r="J29" s="18"/>
      <c r="K29" s="18"/>
      <c r="L29" s="18"/>
      <c r="M29" s="19"/>
      <c r="N29" s="20"/>
    </row>
    <row r="30" spans="1:14" s="41" customFormat="1" ht="12.75" customHeight="1" x14ac:dyDescent="0.25">
      <c r="A30" s="21" t="s">
        <v>21</v>
      </c>
      <c r="B30" s="22" t="s">
        <v>22</v>
      </c>
      <c r="C30" s="22" t="s">
        <v>23</v>
      </c>
      <c r="D30" s="23" t="s">
        <v>25</v>
      </c>
      <c r="F30" s="186"/>
      <c r="G30" s="187"/>
      <c r="H30" s="188"/>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19"/>
      <c r="J44" s="29"/>
      <c r="K44" s="29"/>
      <c r="L44" s="119"/>
      <c r="M44" s="30"/>
      <c r="N44" s="16"/>
    </row>
    <row r="45" spans="1:14" x14ac:dyDescent="0.3">
      <c r="A45" s="106"/>
      <c r="B45" s="107"/>
      <c r="C45" s="107"/>
      <c r="D45" s="114"/>
      <c r="F45" s="103"/>
      <c r="G45" s="104"/>
      <c r="H45" s="109"/>
      <c r="I45" s="119"/>
      <c r="J45" s="29"/>
      <c r="K45" s="29"/>
      <c r="L45" s="119"/>
      <c r="M45" s="30"/>
      <c r="N45" s="16"/>
    </row>
    <row r="46" spans="1:14" s="34" customFormat="1" x14ac:dyDescent="0.3">
      <c r="A46" s="178" t="s">
        <v>54</v>
      </c>
      <c r="B46" s="179"/>
      <c r="C46" s="179"/>
      <c r="D46" s="96">
        <f>SUM(Tree_41[Amount])</f>
        <v>0</v>
      </c>
      <c r="F46" s="173" t="s">
        <v>33</v>
      </c>
      <c r="G46" s="174"/>
      <c r="H46" s="174"/>
      <c r="I46" s="43"/>
      <c r="J46" s="43"/>
      <c r="K46" s="43"/>
      <c r="L46" s="43"/>
      <c r="M46" s="36"/>
      <c r="N46" s="37"/>
    </row>
    <row r="47" spans="1:14" s="40" customFormat="1" ht="11.1" customHeight="1" x14ac:dyDescent="0.3">
      <c r="A47" s="38"/>
      <c r="B47" s="38"/>
      <c r="C47" s="38"/>
      <c r="D47" s="39"/>
      <c r="F47" s="173"/>
      <c r="G47" s="174"/>
      <c r="H47" s="174"/>
      <c r="I47" s="43"/>
      <c r="J47" s="43"/>
      <c r="K47" s="43"/>
      <c r="L47" s="43"/>
      <c r="M47" s="36"/>
      <c r="N47" s="37"/>
    </row>
    <row r="48" spans="1:14" s="17" customFormat="1" ht="23.1" customHeight="1" x14ac:dyDescent="0.3">
      <c r="A48" s="191" t="s">
        <v>68</v>
      </c>
      <c r="B48" s="192"/>
      <c r="C48" s="192"/>
      <c r="D48" s="193"/>
      <c r="F48" s="183" t="s">
        <v>55</v>
      </c>
      <c r="G48" s="184"/>
      <c r="H48" s="185"/>
      <c r="I48" s="44"/>
      <c r="J48" s="44"/>
      <c r="K48" s="44"/>
      <c r="L48" s="44"/>
      <c r="M48" s="19"/>
      <c r="N48" s="20"/>
    </row>
    <row r="49" spans="1:14" s="41" customFormat="1" ht="12.75" customHeight="1" x14ac:dyDescent="0.25">
      <c r="A49" s="21" t="s">
        <v>21</v>
      </c>
      <c r="B49" s="22" t="s">
        <v>22</v>
      </c>
      <c r="C49" s="22" t="s">
        <v>23</v>
      </c>
      <c r="D49" s="23" t="s">
        <v>25</v>
      </c>
      <c r="F49" s="186"/>
      <c r="G49" s="187"/>
      <c r="H49" s="188"/>
      <c r="I49" s="119"/>
      <c r="J49" s="119"/>
      <c r="K49" s="119"/>
      <c r="L49" s="119"/>
      <c r="M49" s="30"/>
      <c r="N49" s="42"/>
    </row>
    <row r="50" spans="1:14" x14ac:dyDescent="0.3">
      <c r="A50" s="100"/>
      <c r="B50" s="101"/>
      <c r="C50" s="101"/>
      <c r="D50" s="112"/>
      <c r="F50" s="103"/>
      <c r="G50" s="104"/>
      <c r="H50" s="109"/>
      <c r="I50" s="119"/>
      <c r="J50" s="119"/>
      <c r="K50" s="119"/>
      <c r="L50" s="119"/>
      <c r="M50" s="30"/>
      <c r="N50" s="16"/>
    </row>
    <row r="51" spans="1:14" x14ac:dyDescent="0.3">
      <c r="A51" s="106"/>
      <c r="B51" s="107"/>
      <c r="C51" s="107"/>
      <c r="D51" s="113"/>
      <c r="F51" s="103"/>
      <c r="G51" s="104"/>
      <c r="H51" s="109"/>
      <c r="I51" s="119"/>
      <c r="J51" s="119"/>
      <c r="K51" s="119"/>
      <c r="L51" s="119"/>
      <c r="M51" s="30"/>
      <c r="N51" s="16"/>
    </row>
    <row r="52" spans="1:14" x14ac:dyDescent="0.3">
      <c r="A52" s="106"/>
      <c r="B52" s="107"/>
      <c r="C52" s="107"/>
      <c r="D52" s="114"/>
      <c r="F52" s="103"/>
      <c r="H52" s="109"/>
      <c r="I52" s="119"/>
      <c r="J52" s="119"/>
      <c r="K52" s="119"/>
      <c r="L52" s="119"/>
      <c r="M52" s="30"/>
      <c r="N52" s="16"/>
    </row>
    <row r="53" spans="1:14" x14ac:dyDescent="0.3">
      <c r="A53" s="106"/>
      <c r="B53" s="107"/>
      <c r="C53" s="107"/>
      <c r="D53" s="113"/>
      <c r="F53" s="103"/>
      <c r="G53" s="104"/>
      <c r="H53" s="109"/>
      <c r="I53" s="119"/>
      <c r="J53" s="119"/>
      <c r="K53" s="119"/>
      <c r="L53" s="119"/>
      <c r="M53" s="30"/>
      <c r="N53" s="16"/>
    </row>
    <row r="54" spans="1:14" x14ac:dyDescent="0.3">
      <c r="A54" s="106"/>
      <c r="B54" s="107"/>
      <c r="C54" s="107"/>
      <c r="D54" s="114"/>
      <c r="F54" s="103"/>
      <c r="G54" s="104"/>
      <c r="H54" s="109"/>
      <c r="I54" s="119"/>
      <c r="J54" s="119"/>
      <c r="K54" s="119"/>
      <c r="L54" s="119"/>
      <c r="M54" s="30"/>
      <c r="N54" s="16"/>
    </row>
    <row r="55" spans="1:14" x14ac:dyDescent="0.3">
      <c r="A55" s="106"/>
      <c r="B55" s="107"/>
      <c r="C55" s="107"/>
      <c r="D55" s="113"/>
      <c r="F55" s="103"/>
      <c r="G55" s="104"/>
      <c r="H55" s="109"/>
      <c r="I55" s="119"/>
      <c r="J55" s="119"/>
      <c r="K55" s="119"/>
      <c r="L55" s="119"/>
      <c r="M55" s="30"/>
      <c r="N55" s="16"/>
    </row>
    <row r="56" spans="1:14" x14ac:dyDescent="0.3">
      <c r="A56" s="106"/>
      <c r="B56" s="107"/>
      <c r="C56" s="107"/>
      <c r="D56" s="114"/>
      <c r="F56" s="103"/>
      <c r="G56" s="104"/>
      <c r="H56" s="109"/>
      <c r="I56" s="119"/>
      <c r="J56" s="119"/>
      <c r="K56" s="119"/>
      <c r="L56" s="119"/>
      <c r="M56" s="30"/>
      <c r="N56" s="16"/>
    </row>
    <row r="57" spans="1:14" x14ac:dyDescent="0.3">
      <c r="A57" s="106"/>
      <c r="B57" s="107"/>
      <c r="C57" s="107"/>
      <c r="D57" s="113"/>
      <c r="F57" s="103"/>
      <c r="G57" s="104"/>
      <c r="H57" s="109"/>
      <c r="I57" s="119"/>
      <c r="J57" s="119"/>
      <c r="K57" s="119"/>
      <c r="L57" s="119"/>
      <c r="M57" s="30"/>
      <c r="N57" s="16"/>
    </row>
    <row r="58" spans="1:14" x14ac:dyDescent="0.3">
      <c r="A58" s="106"/>
      <c r="B58" s="107"/>
      <c r="C58" s="107"/>
      <c r="D58" s="114"/>
      <c r="F58" s="103"/>
      <c r="G58" s="104"/>
      <c r="H58" s="109"/>
      <c r="I58" s="119"/>
      <c r="J58" s="119"/>
      <c r="K58" s="119"/>
      <c r="L58" s="119"/>
      <c r="M58" s="30"/>
      <c r="N58" s="16"/>
    </row>
    <row r="59" spans="1:14" x14ac:dyDescent="0.3">
      <c r="A59" s="106"/>
      <c r="B59" s="107"/>
      <c r="C59" s="107"/>
      <c r="D59" s="113"/>
      <c r="F59" s="103"/>
      <c r="G59" s="104"/>
      <c r="H59" s="109"/>
      <c r="I59" s="119"/>
      <c r="J59" s="190"/>
      <c r="K59" s="190"/>
      <c r="L59" s="119"/>
      <c r="M59" s="30"/>
      <c r="N59" s="16"/>
    </row>
    <row r="60" spans="1:14" x14ac:dyDescent="0.3">
      <c r="A60" s="106"/>
      <c r="B60" s="107"/>
      <c r="C60" s="107"/>
      <c r="D60" s="114"/>
      <c r="F60" s="103"/>
      <c r="G60" s="104"/>
      <c r="H60" s="109"/>
      <c r="I60" s="189"/>
      <c r="J60" s="189"/>
      <c r="K60" s="189"/>
      <c r="L60" s="189"/>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78" t="s">
        <v>56</v>
      </c>
      <c r="B65" s="179"/>
      <c r="C65" s="179"/>
      <c r="D65" s="96">
        <f>SUM(Pest_41[Amount])</f>
        <v>0</v>
      </c>
      <c r="F65" s="173" t="s">
        <v>33</v>
      </c>
      <c r="G65" s="174"/>
      <c r="H65" s="174"/>
    </row>
    <row r="66" spans="1:8" x14ac:dyDescent="0.3">
      <c r="F66" s="173"/>
      <c r="G66" s="174"/>
      <c r="H66" s="174"/>
    </row>
    <row r="67" spans="1:8" ht="17.399999999999999" x14ac:dyDescent="0.3">
      <c r="A67" s="198" t="s">
        <v>69</v>
      </c>
      <c r="B67" s="198"/>
      <c r="C67" s="198"/>
      <c r="D67" s="198"/>
      <c r="E67" s="17"/>
      <c r="F67" s="183" t="s">
        <v>57</v>
      </c>
      <c r="G67" s="184"/>
      <c r="H67" s="185"/>
    </row>
    <row r="68" spans="1:8" x14ac:dyDescent="0.3">
      <c r="A68" s="21" t="s">
        <v>21</v>
      </c>
      <c r="B68" s="22" t="s">
        <v>22</v>
      </c>
      <c r="C68" s="22" t="s">
        <v>23</v>
      </c>
      <c r="D68" s="23" t="s">
        <v>25</v>
      </c>
      <c r="E68" s="24"/>
      <c r="F68" s="186"/>
      <c r="G68" s="187"/>
      <c r="H68" s="188"/>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78" t="s">
        <v>58</v>
      </c>
      <c r="B84" s="179"/>
      <c r="C84" s="179"/>
      <c r="D84" s="96">
        <f>SUM(Garbage_41[Amount])</f>
        <v>0</v>
      </c>
      <c r="E84" s="34"/>
      <c r="F84" s="173" t="s">
        <v>33</v>
      </c>
      <c r="G84" s="174"/>
      <c r="H84" s="174"/>
    </row>
    <row r="85" spans="1:8" x14ac:dyDescent="0.3">
      <c r="A85" s="38"/>
      <c r="B85" s="38"/>
      <c r="C85" s="38"/>
      <c r="D85" s="39"/>
      <c r="E85" s="40"/>
      <c r="F85" s="173"/>
      <c r="G85" s="174"/>
      <c r="H85" s="174"/>
    </row>
    <row r="86" spans="1:8" ht="17.399999999999999" x14ac:dyDescent="0.3">
      <c r="A86" s="191" t="s">
        <v>59</v>
      </c>
      <c r="B86" s="192"/>
      <c r="C86" s="192"/>
      <c r="D86" s="193"/>
      <c r="E86" s="17"/>
      <c r="F86" s="183" t="s">
        <v>60</v>
      </c>
      <c r="G86" s="184"/>
      <c r="H86" s="185"/>
    </row>
    <row r="87" spans="1:8" x14ac:dyDescent="0.3">
      <c r="A87" s="21" t="s">
        <v>21</v>
      </c>
      <c r="B87" s="22" t="s">
        <v>22</v>
      </c>
      <c r="C87" s="22" t="s">
        <v>23</v>
      </c>
      <c r="D87" s="23" t="s">
        <v>25</v>
      </c>
      <c r="E87" s="41"/>
      <c r="F87" s="186"/>
      <c r="G87" s="187"/>
      <c r="H87" s="188"/>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78" t="s">
        <v>61</v>
      </c>
      <c r="B103" s="179"/>
      <c r="C103" s="179"/>
      <c r="D103" s="96">
        <f>SUM(Boarding_41[Amount])</f>
        <v>0</v>
      </c>
      <c r="E103" s="34"/>
      <c r="F103" s="173" t="s">
        <v>33</v>
      </c>
      <c r="G103" s="174"/>
      <c r="H103" s="174"/>
    </row>
    <row r="104" spans="1:8" x14ac:dyDescent="0.3">
      <c r="A104" s="38"/>
      <c r="B104" s="38"/>
      <c r="C104" s="38"/>
      <c r="D104" s="39"/>
      <c r="E104" s="40"/>
      <c r="F104" s="173"/>
      <c r="G104" s="174"/>
      <c r="H104" s="174"/>
    </row>
    <row r="105" spans="1:8" ht="17.399999999999999" x14ac:dyDescent="0.3">
      <c r="A105" s="191" t="s">
        <v>70</v>
      </c>
      <c r="B105" s="192"/>
      <c r="C105" s="192"/>
      <c r="D105" s="193"/>
      <c r="E105" s="17"/>
      <c r="F105" s="183" t="s">
        <v>62</v>
      </c>
      <c r="G105" s="184"/>
      <c r="H105" s="185"/>
    </row>
    <row r="106" spans="1:8" x14ac:dyDescent="0.3">
      <c r="A106" s="21" t="s">
        <v>21</v>
      </c>
      <c r="B106" s="22" t="s">
        <v>22</v>
      </c>
      <c r="C106" s="22" t="s">
        <v>23</v>
      </c>
      <c r="D106" s="23" t="s">
        <v>25</v>
      </c>
      <c r="E106" s="41"/>
      <c r="F106" s="186"/>
      <c r="G106" s="187"/>
      <c r="H106" s="188"/>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78" t="s">
        <v>63</v>
      </c>
      <c r="B122" s="179"/>
      <c r="C122" s="179"/>
      <c r="D122" s="96">
        <f>SUM(Fence_41[Amount])</f>
        <v>0</v>
      </c>
      <c r="E122" s="34"/>
      <c r="F122" s="173" t="s">
        <v>33</v>
      </c>
      <c r="G122" s="174"/>
      <c r="H122" s="174"/>
    </row>
    <row r="123" spans="1:8" x14ac:dyDescent="0.3">
      <c r="F123" s="173"/>
      <c r="G123" s="174"/>
      <c r="H123" s="174"/>
    </row>
    <row r="124" spans="1:8" ht="17.399999999999999" x14ac:dyDescent="0.3">
      <c r="A124" s="191" t="s">
        <v>26</v>
      </c>
      <c r="B124" s="192"/>
      <c r="C124" s="192"/>
      <c r="D124" s="193"/>
      <c r="E124" s="17"/>
      <c r="F124" s="183" t="s">
        <v>11</v>
      </c>
      <c r="G124" s="184"/>
      <c r="H124" s="185"/>
    </row>
    <row r="125" spans="1:8" x14ac:dyDescent="0.3">
      <c r="A125" s="21" t="s">
        <v>21</v>
      </c>
      <c r="B125" s="22" t="s">
        <v>22</v>
      </c>
      <c r="C125" s="22" t="s">
        <v>23</v>
      </c>
      <c r="D125" s="23" t="s">
        <v>25</v>
      </c>
      <c r="E125" s="41"/>
      <c r="F125" s="186"/>
      <c r="G125" s="187"/>
      <c r="H125" s="188"/>
    </row>
    <row r="126" spans="1:8" x14ac:dyDescent="0.3">
      <c r="A126" s="100"/>
      <c r="B126" s="101"/>
      <c r="C126" s="101"/>
      <c r="D126" s="112">
        <v>26210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78" t="s">
        <v>27</v>
      </c>
      <c r="B141" s="179"/>
      <c r="C141" s="179"/>
      <c r="D141" s="96">
        <f>SUM(Demolition_41[Amount])</f>
        <v>26210</v>
      </c>
      <c r="E141" s="34"/>
      <c r="F141" s="173" t="s">
        <v>33</v>
      </c>
      <c r="G141" s="174"/>
      <c r="H141" s="174"/>
    </row>
    <row r="142" spans="1:8" x14ac:dyDescent="0.3">
      <c r="A142" s="38"/>
      <c r="B142" s="38"/>
      <c r="C142" s="38"/>
      <c r="D142" s="39"/>
      <c r="E142" s="40"/>
      <c r="F142" s="173"/>
      <c r="G142" s="174"/>
      <c r="H142" s="174"/>
    </row>
    <row r="143" spans="1:8" ht="17.399999999999999" x14ac:dyDescent="0.3">
      <c r="A143" s="191" t="s">
        <v>64</v>
      </c>
      <c r="B143" s="192"/>
      <c r="C143" s="192"/>
      <c r="D143" s="193"/>
      <c r="E143" s="17"/>
      <c r="F143" s="183" t="s">
        <v>44</v>
      </c>
      <c r="G143" s="184"/>
      <c r="H143" s="185"/>
    </row>
    <row r="144" spans="1:8" x14ac:dyDescent="0.3">
      <c r="A144" s="21" t="s">
        <v>21</v>
      </c>
      <c r="B144" s="22" t="s">
        <v>22</v>
      </c>
      <c r="C144" s="22" t="s">
        <v>23</v>
      </c>
      <c r="D144" s="23" t="s">
        <v>25</v>
      </c>
      <c r="E144" s="41"/>
      <c r="F144" s="186"/>
      <c r="G144" s="187"/>
      <c r="H144" s="188"/>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78" t="s">
        <v>65</v>
      </c>
      <c r="B160" s="179"/>
      <c r="C160" s="179"/>
      <c r="D160" s="96">
        <f>SUM(Rehab_41[Amount])</f>
        <v>0</v>
      </c>
      <c r="E160" s="34"/>
      <c r="F160" s="173" t="s">
        <v>33</v>
      </c>
      <c r="G160" s="174"/>
      <c r="H160" s="174"/>
    </row>
    <row r="161" spans="6:8" x14ac:dyDescent="0.3">
      <c r="F161" s="173"/>
      <c r="G161" s="174"/>
      <c r="H161" s="174"/>
    </row>
  </sheetData>
  <sheetProtection algorithmName="SHA-512" hashValue="AMkCp9hDyj/PyMZdH0Pwo41Flu6MhpRjNgfaXOZOed+nrMc7G/XqAKtxoEPO3t9B8Oy+VLZFyL/95Z/zAjvc3Q==" saltValue="rm/4x7dB0jVVGlYMrJ+Ogw=="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N161"/>
  <sheetViews>
    <sheetView showGridLines="0" zoomScaleNormal="100" workbookViewId="0">
      <pane ySplit="9" topLeftCell="A118"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5" t="s">
        <v>24</v>
      </c>
      <c r="B1" s="175"/>
      <c r="C1" s="175"/>
      <c r="D1" s="175"/>
      <c r="E1" s="1"/>
      <c r="F1" s="2"/>
      <c r="G1" s="2"/>
      <c r="H1" s="1"/>
    </row>
    <row r="2" spans="1:14" ht="24.9" customHeight="1" x14ac:dyDescent="0.3">
      <c r="A2" s="176" t="s">
        <v>71</v>
      </c>
      <c r="B2" s="176"/>
      <c r="C2" s="176"/>
      <c r="D2" s="176"/>
      <c r="E2" s="4"/>
      <c r="F2" s="120"/>
      <c r="G2" s="120"/>
      <c r="H2" s="5"/>
    </row>
    <row r="3" spans="1:14" ht="31.5" customHeight="1" x14ac:dyDescent="0.3">
      <c r="A3" s="176"/>
      <c r="B3" s="176"/>
      <c r="C3" s="176"/>
      <c r="D3" s="176"/>
      <c r="E3" s="4"/>
      <c r="F3" s="120"/>
      <c r="G3" s="120"/>
      <c r="H3" s="5"/>
    </row>
    <row r="4" spans="1:14" ht="15" customHeight="1" x14ac:dyDescent="0.25">
      <c r="A4" s="75" t="s">
        <v>19</v>
      </c>
      <c r="B4" s="194" t="str">
        <f>IF('Summary Sheet'!B74="","",'Summary Sheet'!B74)</f>
        <v>2025 W 68TH PL</v>
      </c>
      <c r="C4" s="194"/>
      <c r="D4" s="120"/>
      <c r="E4" s="4"/>
      <c r="F4" s="120"/>
      <c r="G4" s="120"/>
      <c r="H4" s="5"/>
    </row>
    <row r="5" spans="1:14" ht="15" customHeight="1" x14ac:dyDescent="0.25">
      <c r="A5" s="75" t="s">
        <v>20</v>
      </c>
      <c r="B5" s="195" t="str">
        <f>IF('Summary Sheet'!C74="","",'Summary Sheet'!C74)</f>
        <v/>
      </c>
      <c r="C5" s="195"/>
      <c r="D5" s="120"/>
      <c r="E5" s="4"/>
      <c r="F5" s="120"/>
      <c r="G5" s="120"/>
      <c r="H5" s="5"/>
    </row>
    <row r="6" spans="1:14" ht="15" customHeight="1" x14ac:dyDescent="0.25">
      <c r="A6" s="75" t="s">
        <v>36</v>
      </c>
      <c r="B6" s="177"/>
      <c r="C6" s="177"/>
      <c r="D6" s="6"/>
      <c r="E6" s="7"/>
    </row>
    <row r="7" spans="1:14" ht="15" customHeight="1" x14ac:dyDescent="0.25">
      <c r="A7" s="7"/>
      <c r="B7" s="196" t="s">
        <v>34</v>
      </c>
      <c r="C7" s="196"/>
      <c r="D7" s="10"/>
    </row>
    <row r="8" spans="1:14" ht="20.100000000000001" customHeight="1" x14ac:dyDescent="0.25">
      <c r="B8" s="11"/>
      <c r="C8" s="11"/>
      <c r="D8" s="12" t="s">
        <v>31</v>
      </c>
      <c r="F8" s="180" t="s">
        <v>32</v>
      </c>
      <c r="G8" s="181"/>
      <c r="H8" s="182"/>
    </row>
    <row r="9" spans="1:14" s="14" customFormat="1" ht="20.100000000000001" customHeight="1" x14ac:dyDescent="0.25">
      <c r="A9" s="197"/>
      <c r="B9" s="197"/>
      <c r="C9" s="197"/>
      <c r="D9" s="13">
        <f>SUM(D27,D46,D65,D84,D103,D122,D141,D160)</f>
        <v>24510</v>
      </c>
      <c r="F9" s="15" t="s">
        <v>28</v>
      </c>
      <c r="G9" s="15" t="s">
        <v>29</v>
      </c>
      <c r="H9" s="15" t="s">
        <v>30</v>
      </c>
      <c r="I9" s="16"/>
      <c r="J9" s="16"/>
      <c r="K9" s="16"/>
      <c r="L9" s="16"/>
      <c r="M9" s="16"/>
      <c r="N9" s="16"/>
    </row>
    <row r="10" spans="1:14" s="17" customFormat="1" ht="23.1" customHeight="1" x14ac:dyDescent="0.3">
      <c r="A10" s="198" t="s">
        <v>51</v>
      </c>
      <c r="B10" s="198"/>
      <c r="C10" s="198"/>
      <c r="D10" s="198"/>
      <c r="F10" s="183" t="s">
        <v>66</v>
      </c>
      <c r="G10" s="184"/>
      <c r="H10" s="185"/>
      <c r="I10" s="18"/>
      <c r="J10" s="18"/>
      <c r="K10" s="18"/>
      <c r="L10" s="18"/>
      <c r="M10" s="19"/>
      <c r="N10" s="20"/>
    </row>
    <row r="11" spans="1:14" s="24" customFormat="1" ht="12.75" customHeight="1" x14ac:dyDescent="0.25">
      <c r="A11" s="21" t="s">
        <v>21</v>
      </c>
      <c r="B11" s="22" t="s">
        <v>22</v>
      </c>
      <c r="C11" s="22" t="s">
        <v>23</v>
      </c>
      <c r="D11" s="23" t="s">
        <v>25</v>
      </c>
      <c r="F11" s="186"/>
      <c r="G11" s="187"/>
      <c r="H11" s="188"/>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78" t="s">
        <v>53</v>
      </c>
      <c r="B27" s="179"/>
      <c r="C27" s="179"/>
      <c r="D27" s="96">
        <f>SUM(Grass_42[Amount])</f>
        <v>0</v>
      </c>
      <c r="F27" s="173" t="s">
        <v>33</v>
      </c>
      <c r="G27" s="174"/>
      <c r="H27" s="174"/>
      <c r="I27" s="35"/>
      <c r="J27" s="35"/>
      <c r="K27" s="35"/>
      <c r="L27" s="35"/>
      <c r="M27" s="36"/>
      <c r="N27" s="37"/>
    </row>
    <row r="28" spans="1:14" s="40" customFormat="1" ht="11.1" customHeight="1" x14ac:dyDescent="0.3">
      <c r="A28" s="38"/>
      <c r="B28" s="38"/>
      <c r="C28" s="38"/>
      <c r="D28" s="39"/>
      <c r="F28" s="173"/>
      <c r="G28" s="174"/>
      <c r="H28" s="174"/>
      <c r="I28" s="35"/>
      <c r="J28" s="35"/>
      <c r="K28" s="35"/>
      <c r="L28" s="35"/>
      <c r="M28" s="36"/>
      <c r="N28" s="37"/>
    </row>
    <row r="29" spans="1:14" s="17" customFormat="1" ht="23.1" customHeight="1" x14ac:dyDescent="0.3">
      <c r="A29" s="191" t="s">
        <v>67</v>
      </c>
      <c r="B29" s="192"/>
      <c r="C29" s="192"/>
      <c r="D29" s="193"/>
      <c r="F29" s="183" t="s">
        <v>52</v>
      </c>
      <c r="G29" s="184"/>
      <c r="H29" s="185"/>
      <c r="I29" s="18"/>
      <c r="J29" s="18"/>
      <c r="K29" s="18"/>
      <c r="L29" s="18"/>
      <c r="M29" s="19"/>
      <c r="N29" s="20"/>
    </row>
    <row r="30" spans="1:14" s="41" customFormat="1" ht="12.75" customHeight="1" x14ac:dyDescent="0.25">
      <c r="A30" s="21" t="s">
        <v>21</v>
      </c>
      <c r="B30" s="22" t="s">
        <v>22</v>
      </c>
      <c r="C30" s="22" t="s">
        <v>23</v>
      </c>
      <c r="D30" s="23" t="s">
        <v>25</v>
      </c>
      <c r="F30" s="186"/>
      <c r="G30" s="187"/>
      <c r="H30" s="188"/>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19"/>
      <c r="J44" s="29"/>
      <c r="K44" s="29"/>
      <c r="L44" s="119"/>
      <c r="M44" s="30"/>
      <c r="N44" s="16"/>
    </row>
    <row r="45" spans="1:14" x14ac:dyDescent="0.3">
      <c r="A45" s="106"/>
      <c r="B45" s="107"/>
      <c r="C45" s="107"/>
      <c r="D45" s="114"/>
      <c r="F45" s="103"/>
      <c r="G45" s="104"/>
      <c r="H45" s="109"/>
      <c r="I45" s="119"/>
      <c r="J45" s="29"/>
      <c r="K45" s="29"/>
      <c r="L45" s="119"/>
      <c r="M45" s="30"/>
      <c r="N45" s="16"/>
    </row>
    <row r="46" spans="1:14" s="34" customFormat="1" x14ac:dyDescent="0.3">
      <c r="A46" s="178" t="s">
        <v>54</v>
      </c>
      <c r="B46" s="179"/>
      <c r="C46" s="179"/>
      <c r="D46" s="96">
        <f>SUM(Tree_42[Amount])</f>
        <v>0</v>
      </c>
      <c r="F46" s="173" t="s">
        <v>33</v>
      </c>
      <c r="G46" s="174"/>
      <c r="H46" s="174"/>
      <c r="I46" s="43"/>
      <c r="J46" s="43"/>
      <c r="K46" s="43"/>
      <c r="L46" s="43"/>
      <c r="M46" s="36"/>
      <c r="N46" s="37"/>
    </row>
    <row r="47" spans="1:14" s="40" customFormat="1" ht="11.1" customHeight="1" x14ac:dyDescent="0.3">
      <c r="A47" s="38"/>
      <c r="B47" s="38"/>
      <c r="C47" s="38"/>
      <c r="D47" s="39"/>
      <c r="F47" s="173"/>
      <c r="G47" s="174"/>
      <c r="H47" s="174"/>
      <c r="I47" s="43"/>
      <c r="J47" s="43"/>
      <c r="K47" s="43"/>
      <c r="L47" s="43"/>
      <c r="M47" s="36"/>
      <c r="N47" s="37"/>
    </row>
    <row r="48" spans="1:14" s="17" customFormat="1" ht="23.1" customHeight="1" x14ac:dyDescent="0.3">
      <c r="A48" s="191" t="s">
        <v>68</v>
      </c>
      <c r="B48" s="192"/>
      <c r="C48" s="192"/>
      <c r="D48" s="193"/>
      <c r="F48" s="183" t="s">
        <v>55</v>
      </c>
      <c r="G48" s="184"/>
      <c r="H48" s="185"/>
      <c r="I48" s="44"/>
      <c r="J48" s="44"/>
      <c r="K48" s="44"/>
      <c r="L48" s="44"/>
      <c r="M48" s="19"/>
      <c r="N48" s="20"/>
    </row>
    <row r="49" spans="1:14" s="41" customFormat="1" ht="12.75" customHeight="1" x14ac:dyDescent="0.25">
      <c r="A49" s="21" t="s">
        <v>21</v>
      </c>
      <c r="B49" s="22" t="s">
        <v>22</v>
      </c>
      <c r="C49" s="22" t="s">
        <v>23</v>
      </c>
      <c r="D49" s="23" t="s">
        <v>25</v>
      </c>
      <c r="F49" s="186"/>
      <c r="G49" s="187"/>
      <c r="H49" s="188"/>
      <c r="I49" s="119"/>
      <c r="J49" s="119"/>
      <c r="K49" s="119"/>
      <c r="L49" s="119"/>
      <c r="M49" s="30"/>
      <c r="N49" s="42"/>
    </row>
    <row r="50" spans="1:14" x14ac:dyDescent="0.3">
      <c r="A50" s="100"/>
      <c r="B50" s="101"/>
      <c r="C50" s="101"/>
      <c r="D50" s="112"/>
      <c r="F50" s="103"/>
      <c r="G50" s="104"/>
      <c r="H50" s="109"/>
      <c r="I50" s="119"/>
      <c r="J50" s="119"/>
      <c r="K50" s="119"/>
      <c r="L50" s="119"/>
      <c r="M50" s="30"/>
      <c r="N50" s="16"/>
    </row>
    <row r="51" spans="1:14" x14ac:dyDescent="0.3">
      <c r="A51" s="106"/>
      <c r="B51" s="107"/>
      <c r="C51" s="107"/>
      <c r="D51" s="113"/>
      <c r="F51" s="103"/>
      <c r="G51" s="104"/>
      <c r="H51" s="109"/>
      <c r="I51" s="119"/>
      <c r="J51" s="119"/>
      <c r="K51" s="119"/>
      <c r="L51" s="119"/>
      <c r="M51" s="30"/>
      <c r="N51" s="16"/>
    </row>
    <row r="52" spans="1:14" x14ac:dyDescent="0.3">
      <c r="A52" s="106"/>
      <c r="B52" s="107"/>
      <c r="C52" s="107"/>
      <c r="D52" s="114"/>
      <c r="F52" s="103"/>
      <c r="H52" s="109"/>
      <c r="I52" s="119"/>
      <c r="J52" s="119"/>
      <c r="K52" s="119"/>
      <c r="L52" s="119"/>
      <c r="M52" s="30"/>
      <c r="N52" s="16"/>
    </row>
    <row r="53" spans="1:14" x14ac:dyDescent="0.3">
      <c r="A53" s="106"/>
      <c r="B53" s="107"/>
      <c r="C53" s="107"/>
      <c r="D53" s="113"/>
      <c r="F53" s="103"/>
      <c r="G53" s="104"/>
      <c r="H53" s="109"/>
      <c r="I53" s="119"/>
      <c r="J53" s="119"/>
      <c r="K53" s="119"/>
      <c r="L53" s="119"/>
      <c r="M53" s="30"/>
      <c r="N53" s="16"/>
    </row>
    <row r="54" spans="1:14" x14ac:dyDescent="0.3">
      <c r="A54" s="106"/>
      <c r="B54" s="107"/>
      <c r="C54" s="107"/>
      <c r="D54" s="114"/>
      <c r="F54" s="103"/>
      <c r="G54" s="104"/>
      <c r="H54" s="109"/>
      <c r="I54" s="119"/>
      <c r="J54" s="119"/>
      <c r="K54" s="119"/>
      <c r="L54" s="119"/>
      <c r="M54" s="30"/>
      <c r="N54" s="16"/>
    </row>
    <row r="55" spans="1:14" x14ac:dyDescent="0.3">
      <c r="A55" s="106"/>
      <c r="B55" s="107"/>
      <c r="C55" s="107"/>
      <c r="D55" s="113"/>
      <c r="F55" s="103"/>
      <c r="G55" s="104"/>
      <c r="H55" s="109"/>
      <c r="I55" s="119"/>
      <c r="J55" s="119"/>
      <c r="K55" s="119"/>
      <c r="L55" s="119"/>
      <c r="M55" s="30"/>
      <c r="N55" s="16"/>
    </row>
    <row r="56" spans="1:14" x14ac:dyDescent="0.3">
      <c r="A56" s="106"/>
      <c r="B56" s="107"/>
      <c r="C56" s="107"/>
      <c r="D56" s="114"/>
      <c r="F56" s="103"/>
      <c r="G56" s="104"/>
      <c r="H56" s="109"/>
      <c r="I56" s="119"/>
      <c r="J56" s="119"/>
      <c r="K56" s="119"/>
      <c r="L56" s="119"/>
      <c r="M56" s="30"/>
      <c r="N56" s="16"/>
    </row>
    <row r="57" spans="1:14" x14ac:dyDescent="0.3">
      <c r="A57" s="106"/>
      <c r="B57" s="107"/>
      <c r="C57" s="107"/>
      <c r="D57" s="113"/>
      <c r="F57" s="103"/>
      <c r="G57" s="104"/>
      <c r="H57" s="109"/>
      <c r="I57" s="119"/>
      <c r="J57" s="119"/>
      <c r="K57" s="119"/>
      <c r="L57" s="119"/>
      <c r="M57" s="30"/>
      <c r="N57" s="16"/>
    </row>
    <row r="58" spans="1:14" x14ac:dyDescent="0.3">
      <c r="A58" s="106"/>
      <c r="B58" s="107"/>
      <c r="C58" s="107"/>
      <c r="D58" s="114"/>
      <c r="F58" s="103"/>
      <c r="G58" s="104"/>
      <c r="H58" s="109"/>
      <c r="I58" s="119"/>
      <c r="J58" s="119"/>
      <c r="K58" s="119"/>
      <c r="L58" s="119"/>
      <c r="M58" s="30"/>
      <c r="N58" s="16"/>
    </row>
    <row r="59" spans="1:14" x14ac:dyDescent="0.3">
      <c r="A59" s="106"/>
      <c r="B59" s="107"/>
      <c r="C59" s="107"/>
      <c r="D59" s="113"/>
      <c r="F59" s="103"/>
      <c r="G59" s="104"/>
      <c r="H59" s="109"/>
      <c r="I59" s="119"/>
      <c r="J59" s="190"/>
      <c r="K59" s="190"/>
      <c r="L59" s="119"/>
      <c r="M59" s="30"/>
      <c r="N59" s="16"/>
    </row>
    <row r="60" spans="1:14" x14ac:dyDescent="0.3">
      <c r="A60" s="106"/>
      <c r="B60" s="107"/>
      <c r="C60" s="107"/>
      <c r="D60" s="114"/>
      <c r="F60" s="103"/>
      <c r="G60" s="104"/>
      <c r="H60" s="109"/>
      <c r="I60" s="189"/>
      <c r="J60" s="189"/>
      <c r="K60" s="189"/>
      <c r="L60" s="189"/>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78" t="s">
        <v>56</v>
      </c>
      <c r="B65" s="179"/>
      <c r="C65" s="179"/>
      <c r="D65" s="96">
        <f>SUM(Pest_42[Amount])</f>
        <v>0</v>
      </c>
      <c r="F65" s="173" t="s">
        <v>33</v>
      </c>
      <c r="G65" s="174"/>
      <c r="H65" s="174"/>
    </row>
    <row r="66" spans="1:8" x14ac:dyDescent="0.3">
      <c r="F66" s="173"/>
      <c r="G66" s="174"/>
      <c r="H66" s="174"/>
    </row>
    <row r="67" spans="1:8" ht="17.399999999999999" x14ac:dyDescent="0.3">
      <c r="A67" s="198" t="s">
        <v>69</v>
      </c>
      <c r="B67" s="198"/>
      <c r="C67" s="198"/>
      <c r="D67" s="198"/>
      <c r="E67" s="17"/>
      <c r="F67" s="183" t="s">
        <v>57</v>
      </c>
      <c r="G67" s="184"/>
      <c r="H67" s="185"/>
    </row>
    <row r="68" spans="1:8" x14ac:dyDescent="0.3">
      <c r="A68" s="21" t="s">
        <v>21</v>
      </c>
      <c r="B68" s="22" t="s">
        <v>22</v>
      </c>
      <c r="C68" s="22" t="s">
        <v>23</v>
      </c>
      <c r="D68" s="23" t="s">
        <v>25</v>
      </c>
      <c r="E68" s="24"/>
      <c r="F68" s="186"/>
      <c r="G68" s="187"/>
      <c r="H68" s="188"/>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78" t="s">
        <v>58</v>
      </c>
      <c r="B84" s="179"/>
      <c r="C84" s="179"/>
      <c r="D84" s="96">
        <f>SUM(Garbage_42[Amount])</f>
        <v>0</v>
      </c>
      <c r="E84" s="34"/>
      <c r="F84" s="173" t="s">
        <v>33</v>
      </c>
      <c r="G84" s="174"/>
      <c r="H84" s="174"/>
    </row>
    <row r="85" spans="1:8" x14ac:dyDescent="0.3">
      <c r="A85" s="38"/>
      <c r="B85" s="38"/>
      <c r="C85" s="38"/>
      <c r="D85" s="39"/>
      <c r="E85" s="40"/>
      <c r="F85" s="173"/>
      <c r="G85" s="174"/>
      <c r="H85" s="174"/>
    </row>
    <row r="86" spans="1:8" ht="17.399999999999999" x14ac:dyDescent="0.3">
      <c r="A86" s="191" t="s">
        <v>59</v>
      </c>
      <c r="B86" s="192"/>
      <c r="C86" s="192"/>
      <c r="D86" s="193"/>
      <c r="E86" s="17"/>
      <c r="F86" s="183" t="s">
        <v>60</v>
      </c>
      <c r="G86" s="184"/>
      <c r="H86" s="185"/>
    </row>
    <row r="87" spans="1:8" x14ac:dyDescent="0.3">
      <c r="A87" s="21" t="s">
        <v>21</v>
      </c>
      <c r="B87" s="22" t="s">
        <v>22</v>
      </c>
      <c r="C87" s="22" t="s">
        <v>23</v>
      </c>
      <c r="D87" s="23" t="s">
        <v>25</v>
      </c>
      <c r="E87" s="41"/>
      <c r="F87" s="186"/>
      <c r="G87" s="187"/>
      <c r="H87" s="188"/>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78" t="s">
        <v>61</v>
      </c>
      <c r="B103" s="179"/>
      <c r="C103" s="179"/>
      <c r="D103" s="96">
        <f>SUM(Boarding_42[Amount])</f>
        <v>0</v>
      </c>
      <c r="E103" s="34"/>
      <c r="F103" s="173" t="s">
        <v>33</v>
      </c>
      <c r="G103" s="174"/>
      <c r="H103" s="174"/>
    </row>
    <row r="104" spans="1:8" x14ac:dyDescent="0.3">
      <c r="A104" s="38"/>
      <c r="B104" s="38"/>
      <c r="C104" s="38"/>
      <c r="D104" s="39"/>
      <c r="E104" s="40"/>
      <c r="F104" s="173"/>
      <c r="G104" s="174"/>
      <c r="H104" s="174"/>
    </row>
    <row r="105" spans="1:8" ht="17.399999999999999" x14ac:dyDescent="0.3">
      <c r="A105" s="191" t="s">
        <v>70</v>
      </c>
      <c r="B105" s="192"/>
      <c r="C105" s="192"/>
      <c r="D105" s="193"/>
      <c r="E105" s="17"/>
      <c r="F105" s="183" t="s">
        <v>62</v>
      </c>
      <c r="G105" s="184"/>
      <c r="H105" s="185"/>
    </row>
    <row r="106" spans="1:8" x14ac:dyDescent="0.3">
      <c r="A106" s="21" t="s">
        <v>21</v>
      </c>
      <c r="B106" s="22" t="s">
        <v>22</v>
      </c>
      <c r="C106" s="22" t="s">
        <v>23</v>
      </c>
      <c r="D106" s="23" t="s">
        <v>25</v>
      </c>
      <c r="E106" s="41"/>
      <c r="F106" s="186"/>
      <c r="G106" s="187"/>
      <c r="H106" s="188"/>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78" t="s">
        <v>63</v>
      </c>
      <c r="B122" s="179"/>
      <c r="C122" s="179"/>
      <c r="D122" s="96">
        <f>SUM(Fence_42[Amount])</f>
        <v>0</v>
      </c>
      <c r="E122" s="34"/>
      <c r="F122" s="173" t="s">
        <v>33</v>
      </c>
      <c r="G122" s="174"/>
      <c r="H122" s="174"/>
    </row>
    <row r="123" spans="1:8" x14ac:dyDescent="0.3">
      <c r="F123" s="173"/>
      <c r="G123" s="174"/>
      <c r="H123" s="174"/>
    </row>
    <row r="124" spans="1:8" ht="17.399999999999999" x14ac:dyDescent="0.3">
      <c r="A124" s="191" t="s">
        <v>26</v>
      </c>
      <c r="B124" s="192"/>
      <c r="C124" s="192"/>
      <c r="D124" s="193"/>
      <c r="E124" s="17"/>
      <c r="F124" s="183" t="s">
        <v>11</v>
      </c>
      <c r="G124" s="184"/>
      <c r="H124" s="185"/>
    </row>
    <row r="125" spans="1:8" x14ac:dyDescent="0.3">
      <c r="A125" s="21" t="s">
        <v>21</v>
      </c>
      <c r="B125" s="22" t="s">
        <v>22</v>
      </c>
      <c r="C125" s="22" t="s">
        <v>23</v>
      </c>
      <c r="D125" s="23" t="s">
        <v>25</v>
      </c>
      <c r="E125" s="41"/>
      <c r="F125" s="186"/>
      <c r="G125" s="187"/>
      <c r="H125" s="188"/>
    </row>
    <row r="126" spans="1:8" x14ac:dyDescent="0.3">
      <c r="A126" s="100"/>
      <c r="B126" s="101"/>
      <c r="C126" s="101"/>
      <c r="D126" s="112">
        <v>24510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78" t="s">
        <v>27</v>
      </c>
      <c r="B141" s="179"/>
      <c r="C141" s="179"/>
      <c r="D141" s="96">
        <f>SUM(Demolition_42[Amount])</f>
        <v>24510</v>
      </c>
      <c r="E141" s="34"/>
      <c r="F141" s="173" t="s">
        <v>33</v>
      </c>
      <c r="G141" s="174"/>
      <c r="H141" s="174"/>
    </row>
    <row r="142" spans="1:8" x14ac:dyDescent="0.3">
      <c r="A142" s="38"/>
      <c r="B142" s="38"/>
      <c r="C142" s="38"/>
      <c r="D142" s="39"/>
      <c r="E142" s="40"/>
      <c r="F142" s="173"/>
      <c r="G142" s="174"/>
      <c r="H142" s="174"/>
    </row>
    <row r="143" spans="1:8" ht="17.399999999999999" x14ac:dyDescent="0.3">
      <c r="A143" s="191" t="s">
        <v>64</v>
      </c>
      <c r="B143" s="192"/>
      <c r="C143" s="192"/>
      <c r="D143" s="193"/>
      <c r="E143" s="17"/>
      <c r="F143" s="183" t="s">
        <v>44</v>
      </c>
      <c r="G143" s="184"/>
      <c r="H143" s="185"/>
    </row>
    <row r="144" spans="1:8" x14ac:dyDescent="0.3">
      <c r="A144" s="21" t="s">
        <v>21</v>
      </c>
      <c r="B144" s="22" t="s">
        <v>22</v>
      </c>
      <c r="C144" s="22" t="s">
        <v>23</v>
      </c>
      <c r="D144" s="23" t="s">
        <v>25</v>
      </c>
      <c r="E144" s="41"/>
      <c r="F144" s="186"/>
      <c r="G144" s="187"/>
      <c r="H144" s="188"/>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78" t="s">
        <v>65</v>
      </c>
      <c r="B160" s="179"/>
      <c r="C160" s="179"/>
      <c r="D160" s="96">
        <f>SUM(Rehab_42[Amount])</f>
        <v>0</v>
      </c>
      <c r="E160" s="34"/>
      <c r="F160" s="173" t="s">
        <v>33</v>
      </c>
      <c r="G160" s="174"/>
      <c r="H160" s="174"/>
    </row>
    <row r="161" spans="6:8" x14ac:dyDescent="0.3">
      <c r="F161" s="173"/>
      <c r="G161" s="174"/>
      <c r="H161" s="174"/>
    </row>
  </sheetData>
  <sheetProtection algorithmName="SHA-512" hashValue="XRKcEgH7H/Xkl1zYPBBdZJA8Rx0Y9xYwgjELlgZeFWFVb0D5fnVwG7SQ7Zi1N9nHP88pZIPlOIh2ekrlcOHttw==" saltValue="5Omf12uruiWLNc8qt6WlDw=="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N161"/>
  <sheetViews>
    <sheetView showGridLines="0" zoomScaleNormal="100" workbookViewId="0">
      <pane ySplit="9" topLeftCell="A112"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5" t="s">
        <v>24</v>
      </c>
      <c r="B1" s="175"/>
      <c r="C1" s="175"/>
      <c r="D1" s="175"/>
      <c r="E1" s="1"/>
      <c r="F1" s="2"/>
      <c r="G1" s="2"/>
      <c r="H1" s="1"/>
    </row>
    <row r="2" spans="1:14" ht="24.9" customHeight="1" x14ac:dyDescent="0.3">
      <c r="A2" s="176" t="s">
        <v>71</v>
      </c>
      <c r="B2" s="176"/>
      <c r="C2" s="176"/>
      <c r="D2" s="176"/>
      <c r="E2" s="4"/>
      <c r="F2" s="120"/>
      <c r="G2" s="120"/>
      <c r="H2" s="5"/>
    </row>
    <row r="3" spans="1:14" ht="31.5" customHeight="1" x14ac:dyDescent="0.3">
      <c r="A3" s="176"/>
      <c r="B3" s="176"/>
      <c r="C3" s="176"/>
      <c r="D3" s="176"/>
      <c r="E3" s="4"/>
      <c r="F3" s="120"/>
      <c r="G3" s="120"/>
      <c r="H3" s="5"/>
    </row>
    <row r="4" spans="1:14" ht="15" customHeight="1" x14ac:dyDescent="0.25">
      <c r="A4" s="75" t="s">
        <v>19</v>
      </c>
      <c r="B4" s="194" t="str">
        <f>IF('Summary Sheet'!B75="","",'Summary Sheet'!B75)</f>
        <v>2030 W 68TH ST</v>
      </c>
      <c r="C4" s="194"/>
      <c r="D4" s="120"/>
      <c r="E4" s="4"/>
      <c r="F4" s="120"/>
      <c r="G4" s="120"/>
      <c r="H4" s="5"/>
    </row>
    <row r="5" spans="1:14" ht="15" customHeight="1" x14ac:dyDescent="0.25">
      <c r="A5" s="75" t="s">
        <v>20</v>
      </c>
      <c r="B5" s="195" t="str">
        <f>IF('Summary Sheet'!C75="","",'Summary Sheet'!C75)</f>
        <v/>
      </c>
      <c r="C5" s="195"/>
      <c r="D5" s="120"/>
      <c r="E5" s="4"/>
      <c r="F5" s="120"/>
      <c r="G5" s="120"/>
      <c r="H5" s="5"/>
    </row>
    <row r="6" spans="1:14" ht="15" customHeight="1" x14ac:dyDescent="0.25">
      <c r="A6" s="75" t="s">
        <v>36</v>
      </c>
      <c r="B6" s="177"/>
      <c r="C6" s="177"/>
      <c r="D6" s="6"/>
      <c r="E6" s="7"/>
    </row>
    <row r="7" spans="1:14" ht="15" customHeight="1" x14ac:dyDescent="0.25">
      <c r="A7" s="7"/>
      <c r="B7" s="196" t="s">
        <v>34</v>
      </c>
      <c r="C7" s="196"/>
      <c r="D7" s="10"/>
    </row>
    <row r="8" spans="1:14" ht="20.100000000000001" customHeight="1" x14ac:dyDescent="0.25">
      <c r="B8" s="11"/>
      <c r="C8" s="11"/>
      <c r="D8" s="12" t="s">
        <v>31</v>
      </c>
      <c r="F8" s="180" t="s">
        <v>32</v>
      </c>
      <c r="G8" s="181"/>
      <c r="H8" s="182"/>
    </row>
    <row r="9" spans="1:14" s="14" customFormat="1" ht="20.100000000000001" customHeight="1" x14ac:dyDescent="0.25">
      <c r="A9" s="197"/>
      <c r="B9" s="197"/>
      <c r="C9" s="197"/>
      <c r="D9" s="13">
        <f>SUM(D27,D46,D65,D84,D103,D122,D141,D160)</f>
        <v>26510</v>
      </c>
      <c r="F9" s="15" t="s">
        <v>28</v>
      </c>
      <c r="G9" s="15" t="s">
        <v>29</v>
      </c>
      <c r="H9" s="15" t="s">
        <v>30</v>
      </c>
      <c r="I9" s="16"/>
      <c r="J9" s="16"/>
      <c r="K9" s="16"/>
      <c r="L9" s="16"/>
      <c r="M9" s="16"/>
      <c r="N9" s="16"/>
    </row>
    <row r="10" spans="1:14" s="17" customFormat="1" ht="23.1" customHeight="1" x14ac:dyDescent="0.3">
      <c r="A10" s="198" t="s">
        <v>51</v>
      </c>
      <c r="B10" s="198"/>
      <c r="C10" s="198"/>
      <c r="D10" s="198"/>
      <c r="F10" s="183" t="s">
        <v>66</v>
      </c>
      <c r="G10" s="184"/>
      <c r="H10" s="185"/>
      <c r="I10" s="18"/>
      <c r="J10" s="18"/>
      <c r="K10" s="18"/>
      <c r="L10" s="18"/>
      <c r="M10" s="19"/>
      <c r="N10" s="20"/>
    </row>
    <row r="11" spans="1:14" s="24" customFormat="1" ht="12.75" customHeight="1" x14ac:dyDescent="0.25">
      <c r="A11" s="21" t="s">
        <v>21</v>
      </c>
      <c r="B11" s="22" t="s">
        <v>22</v>
      </c>
      <c r="C11" s="22" t="s">
        <v>23</v>
      </c>
      <c r="D11" s="23" t="s">
        <v>25</v>
      </c>
      <c r="F11" s="186"/>
      <c r="G11" s="187"/>
      <c r="H11" s="188"/>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78" t="s">
        <v>53</v>
      </c>
      <c r="B27" s="179"/>
      <c r="C27" s="179"/>
      <c r="D27" s="96">
        <f>SUM(Grass_43[Amount])</f>
        <v>0</v>
      </c>
      <c r="F27" s="173" t="s">
        <v>33</v>
      </c>
      <c r="G27" s="174"/>
      <c r="H27" s="174"/>
      <c r="I27" s="35"/>
      <c r="J27" s="35"/>
      <c r="K27" s="35"/>
      <c r="L27" s="35"/>
      <c r="M27" s="36"/>
      <c r="N27" s="37"/>
    </row>
    <row r="28" spans="1:14" s="40" customFormat="1" ht="11.1" customHeight="1" x14ac:dyDescent="0.3">
      <c r="A28" s="38"/>
      <c r="B28" s="38"/>
      <c r="C28" s="38"/>
      <c r="D28" s="39"/>
      <c r="F28" s="173"/>
      <c r="G28" s="174"/>
      <c r="H28" s="174"/>
      <c r="I28" s="35"/>
      <c r="J28" s="35"/>
      <c r="K28" s="35"/>
      <c r="L28" s="35"/>
      <c r="M28" s="36"/>
      <c r="N28" s="37"/>
    </row>
    <row r="29" spans="1:14" s="17" customFormat="1" ht="23.1" customHeight="1" x14ac:dyDescent="0.3">
      <c r="A29" s="191" t="s">
        <v>67</v>
      </c>
      <c r="B29" s="192"/>
      <c r="C29" s="192"/>
      <c r="D29" s="193"/>
      <c r="F29" s="183" t="s">
        <v>52</v>
      </c>
      <c r="G29" s="184"/>
      <c r="H29" s="185"/>
      <c r="I29" s="18"/>
      <c r="J29" s="18"/>
      <c r="K29" s="18"/>
      <c r="L29" s="18"/>
      <c r="M29" s="19"/>
      <c r="N29" s="20"/>
    </row>
    <row r="30" spans="1:14" s="41" customFormat="1" ht="12.75" customHeight="1" x14ac:dyDescent="0.25">
      <c r="A30" s="21" t="s">
        <v>21</v>
      </c>
      <c r="B30" s="22" t="s">
        <v>22</v>
      </c>
      <c r="C30" s="22" t="s">
        <v>23</v>
      </c>
      <c r="D30" s="23" t="s">
        <v>25</v>
      </c>
      <c r="F30" s="186"/>
      <c r="G30" s="187"/>
      <c r="H30" s="188"/>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19"/>
      <c r="J44" s="29"/>
      <c r="K44" s="29"/>
      <c r="L44" s="119"/>
      <c r="M44" s="30"/>
      <c r="N44" s="16"/>
    </row>
    <row r="45" spans="1:14" x14ac:dyDescent="0.3">
      <c r="A45" s="106"/>
      <c r="B45" s="107"/>
      <c r="C45" s="107"/>
      <c r="D45" s="114"/>
      <c r="F45" s="103"/>
      <c r="G45" s="104"/>
      <c r="H45" s="109"/>
      <c r="I45" s="119"/>
      <c r="J45" s="29"/>
      <c r="K45" s="29"/>
      <c r="L45" s="119"/>
      <c r="M45" s="30"/>
      <c r="N45" s="16"/>
    </row>
    <row r="46" spans="1:14" s="34" customFormat="1" x14ac:dyDescent="0.3">
      <c r="A46" s="178" t="s">
        <v>54</v>
      </c>
      <c r="B46" s="179"/>
      <c r="C46" s="179"/>
      <c r="D46" s="96">
        <f>SUM(Tree_43[Amount])</f>
        <v>0</v>
      </c>
      <c r="F46" s="173" t="s">
        <v>33</v>
      </c>
      <c r="G46" s="174"/>
      <c r="H46" s="174"/>
      <c r="I46" s="43"/>
      <c r="J46" s="43"/>
      <c r="K46" s="43"/>
      <c r="L46" s="43"/>
      <c r="M46" s="36"/>
      <c r="N46" s="37"/>
    </row>
    <row r="47" spans="1:14" s="40" customFormat="1" ht="11.1" customHeight="1" x14ac:dyDescent="0.3">
      <c r="A47" s="38"/>
      <c r="B47" s="38"/>
      <c r="C47" s="38"/>
      <c r="D47" s="39"/>
      <c r="F47" s="173"/>
      <c r="G47" s="174"/>
      <c r="H47" s="174"/>
      <c r="I47" s="43"/>
      <c r="J47" s="43"/>
      <c r="K47" s="43"/>
      <c r="L47" s="43"/>
      <c r="M47" s="36"/>
      <c r="N47" s="37"/>
    </row>
    <row r="48" spans="1:14" s="17" customFormat="1" ht="23.1" customHeight="1" x14ac:dyDescent="0.3">
      <c r="A48" s="191" t="s">
        <v>68</v>
      </c>
      <c r="B48" s="192"/>
      <c r="C48" s="192"/>
      <c r="D48" s="193"/>
      <c r="F48" s="183" t="s">
        <v>55</v>
      </c>
      <c r="G48" s="184"/>
      <c r="H48" s="185"/>
      <c r="I48" s="44"/>
      <c r="J48" s="44"/>
      <c r="K48" s="44"/>
      <c r="L48" s="44"/>
      <c r="M48" s="19"/>
      <c r="N48" s="20"/>
    </row>
    <row r="49" spans="1:14" s="41" customFormat="1" ht="12.75" customHeight="1" x14ac:dyDescent="0.25">
      <c r="A49" s="21" t="s">
        <v>21</v>
      </c>
      <c r="B49" s="22" t="s">
        <v>22</v>
      </c>
      <c r="C49" s="22" t="s">
        <v>23</v>
      </c>
      <c r="D49" s="23" t="s">
        <v>25</v>
      </c>
      <c r="F49" s="186"/>
      <c r="G49" s="187"/>
      <c r="H49" s="188"/>
      <c r="I49" s="119"/>
      <c r="J49" s="119"/>
      <c r="K49" s="119"/>
      <c r="L49" s="119"/>
      <c r="M49" s="30"/>
      <c r="N49" s="42"/>
    </row>
    <row r="50" spans="1:14" x14ac:dyDescent="0.3">
      <c r="A50" s="100"/>
      <c r="B50" s="101"/>
      <c r="C50" s="101"/>
      <c r="D50" s="112"/>
      <c r="F50" s="103"/>
      <c r="G50" s="104"/>
      <c r="H50" s="109"/>
      <c r="I50" s="119"/>
      <c r="J50" s="119"/>
      <c r="K50" s="119"/>
      <c r="L50" s="119"/>
      <c r="M50" s="30"/>
      <c r="N50" s="16"/>
    </row>
    <row r="51" spans="1:14" x14ac:dyDescent="0.3">
      <c r="A51" s="106"/>
      <c r="B51" s="107"/>
      <c r="C51" s="107"/>
      <c r="D51" s="113"/>
      <c r="F51" s="103"/>
      <c r="G51" s="104"/>
      <c r="H51" s="109"/>
      <c r="I51" s="119"/>
      <c r="J51" s="119"/>
      <c r="K51" s="119"/>
      <c r="L51" s="119"/>
      <c r="M51" s="30"/>
      <c r="N51" s="16"/>
    </row>
    <row r="52" spans="1:14" x14ac:dyDescent="0.3">
      <c r="A52" s="106"/>
      <c r="B52" s="107"/>
      <c r="C52" s="107"/>
      <c r="D52" s="114"/>
      <c r="F52" s="103"/>
      <c r="H52" s="109"/>
      <c r="I52" s="119"/>
      <c r="J52" s="119"/>
      <c r="K52" s="119"/>
      <c r="L52" s="119"/>
      <c r="M52" s="30"/>
      <c r="N52" s="16"/>
    </row>
    <row r="53" spans="1:14" x14ac:dyDescent="0.3">
      <c r="A53" s="106"/>
      <c r="B53" s="107"/>
      <c r="C53" s="107"/>
      <c r="D53" s="113"/>
      <c r="F53" s="103"/>
      <c r="G53" s="104"/>
      <c r="H53" s="109"/>
      <c r="I53" s="119"/>
      <c r="J53" s="119"/>
      <c r="K53" s="119"/>
      <c r="L53" s="119"/>
      <c r="M53" s="30"/>
      <c r="N53" s="16"/>
    </row>
    <row r="54" spans="1:14" x14ac:dyDescent="0.3">
      <c r="A54" s="106"/>
      <c r="B54" s="107"/>
      <c r="C54" s="107"/>
      <c r="D54" s="114"/>
      <c r="F54" s="103"/>
      <c r="G54" s="104"/>
      <c r="H54" s="109"/>
      <c r="I54" s="119"/>
      <c r="J54" s="119"/>
      <c r="K54" s="119"/>
      <c r="L54" s="119"/>
      <c r="M54" s="30"/>
      <c r="N54" s="16"/>
    </row>
    <row r="55" spans="1:14" x14ac:dyDescent="0.3">
      <c r="A55" s="106"/>
      <c r="B55" s="107"/>
      <c r="C55" s="107"/>
      <c r="D55" s="113"/>
      <c r="F55" s="103"/>
      <c r="G55" s="104"/>
      <c r="H55" s="109"/>
      <c r="I55" s="119"/>
      <c r="J55" s="119"/>
      <c r="K55" s="119"/>
      <c r="L55" s="119"/>
      <c r="M55" s="30"/>
      <c r="N55" s="16"/>
    </row>
    <row r="56" spans="1:14" x14ac:dyDescent="0.3">
      <c r="A56" s="106"/>
      <c r="B56" s="107"/>
      <c r="C56" s="107"/>
      <c r="D56" s="114"/>
      <c r="F56" s="103"/>
      <c r="G56" s="104"/>
      <c r="H56" s="109"/>
      <c r="I56" s="119"/>
      <c r="J56" s="119"/>
      <c r="K56" s="119"/>
      <c r="L56" s="119"/>
      <c r="M56" s="30"/>
      <c r="N56" s="16"/>
    </row>
    <row r="57" spans="1:14" x14ac:dyDescent="0.3">
      <c r="A57" s="106"/>
      <c r="B57" s="107"/>
      <c r="C57" s="107"/>
      <c r="D57" s="113"/>
      <c r="F57" s="103"/>
      <c r="G57" s="104"/>
      <c r="H57" s="109"/>
      <c r="I57" s="119"/>
      <c r="J57" s="119"/>
      <c r="K57" s="119"/>
      <c r="L57" s="119"/>
      <c r="M57" s="30"/>
      <c r="N57" s="16"/>
    </row>
    <row r="58" spans="1:14" x14ac:dyDescent="0.3">
      <c r="A58" s="106"/>
      <c r="B58" s="107"/>
      <c r="C58" s="107"/>
      <c r="D58" s="114"/>
      <c r="F58" s="103"/>
      <c r="G58" s="104"/>
      <c r="H58" s="109"/>
      <c r="I58" s="119"/>
      <c r="J58" s="119"/>
      <c r="K58" s="119"/>
      <c r="L58" s="119"/>
      <c r="M58" s="30"/>
      <c r="N58" s="16"/>
    </row>
    <row r="59" spans="1:14" x14ac:dyDescent="0.3">
      <c r="A59" s="106"/>
      <c r="B59" s="107"/>
      <c r="C59" s="107"/>
      <c r="D59" s="113"/>
      <c r="F59" s="103"/>
      <c r="G59" s="104"/>
      <c r="H59" s="109"/>
      <c r="I59" s="119"/>
      <c r="J59" s="190"/>
      <c r="K59" s="190"/>
      <c r="L59" s="119"/>
      <c r="M59" s="30"/>
      <c r="N59" s="16"/>
    </row>
    <row r="60" spans="1:14" x14ac:dyDescent="0.3">
      <c r="A60" s="106"/>
      <c r="B60" s="107"/>
      <c r="C60" s="107"/>
      <c r="D60" s="114"/>
      <c r="F60" s="103"/>
      <c r="G60" s="104"/>
      <c r="H60" s="109"/>
      <c r="I60" s="189"/>
      <c r="J60" s="189"/>
      <c r="K60" s="189"/>
      <c r="L60" s="189"/>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78" t="s">
        <v>56</v>
      </c>
      <c r="B65" s="179"/>
      <c r="C65" s="179"/>
      <c r="D65" s="96">
        <f>SUM(Pest_43[Amount])</f>
        <v>0</v>
      </c>
      <c r="F65" s="173" t="s">
        <v>33</v>
      </c>
      <c r="G65" s="174"/>
      <c r="H65" s="174"/>
    </row>
    <row r="66" spans="1:8" x14ac:dyDescent="0.3">
      <c r="F66" s="173"/>
      <c r="G66" s="174"/>
      <c r="H66" s="174"/>
    </row>
    <row r="67" spans="1:8" ht="17.399999999999999" x14ac:dyDescent="0.3">
      <c r="A67" s="198" t="s">
        <v>69</v>
      </c>
      <c r="B67" s="198"/>
      <c r="C67" s="198"/>
      <c r="D67" s="198"/>
      <c r="E67" s="17"/>
      <c r="F67" s="183" t="s">
        <v>57</v>
      </c>
      <c r="G67" s="184"/>
      <c r="H67" s="185"/>
    </row>
    <row r="68" spans="1:8" x14ac:dyDescent="0.3">
      <c r="A68" s="21" t="s">
        <v>21</v>
      </c>
      <c r="B68" s="22" t="s">
        <v>22</v>
      </c>
      <c r="C68" s="22" t="s">
        <v>23</v>
      </c>
      <c r="D68" s="23" t="s">
        <v>25</v>
      </c>
      <c r="E68" s="24"/>
      <c r="F68" s="186"/>
      <c r="G68" s="187"/>
      <c r="H68" s="188"/>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78" t="s">
        <v>58</v>
      </c>
      <c r="B84" s="179"/>
      <c r="C84" s="179"/>
      <c r="D84" s="96">
        <f>SUM(Garbage_43[Amount])</f>
        <v>0</v>
      </c>
      <c r="E84" s="34"/>
      <c r="F84" s="173" t="s">
        <v>33</v>
      </c>
      <c r="G84" s="174"/>
      <c r="H84" s="174"/>
    </row>
    <row r="85" spans="1:8" x14ac:dyDescent="0.3">
      <c r="A85" s="38"/>
      <c r="B85" s="38"/>
      <c r="C85" s="38"/>
      <c r="D85" s="39"/>
      <c r="E85" s="40"/>
      <c r="F85" s="173"/>
      <c r="G85" s="174"/>
      <c r="H85" s="174"/>
    </row>
    <row r="86" spans="1:8" ht="17.399999999999999" x14ac:dyDescent="0.3">
      <c r="A86" s="191" t="s">
        <v>59</v>
      </c>
      <c r="B86" s="192"/>
      <c r="C86" s="192"/>
      <c r="D86" s="193"/>
      <c r="E86" s="17"/>
      <c r="F86" s="183" t="s">
        <v>60</v>
      </c>
      <c r="G86" s="184"/>
      <c r="H86" s="185"/>
    </row>
    <row r="87" spans="1:8" x14ac:dyDescent="0.3">
      <c r="A87" s="21" t="s">
        <v>21</v>
      </c>
      <c r="B87" s="22" t="s">
        <v>22</v>
      </c>
      <c r="C87" s="22" t="s">
        <v>23</v>
      </c>
      <c r="D87" s="23" t="s">
        <v>25</v>
      </c>
      <c r="E87" s="41"/>
      <c r="F87" s="186"/>
      <c r="G87" s="187"/>
      <c r="H87" s="188"/>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78" t="s">
        <v>61</v>
      </c>
      <c r="B103" s="179"/>
      <c r="C103" s="179"/>
      <c r="D103" s="96">
        <f>SUM(Boarding_43[Amount])</f>
        <v>0</v>
      </c>
      <c r="E103" s="34"/>
      <c r="F103" s="173" t="s">
        <v>33</v>
      </c>
      <c r="G103" s="174"/>
      <c r="H103" s="174"/>
    </row>
    <row r="104" spans="1:8" x14ac:dyDescent="0.3">
      <c r="A104" s="38"/>
      <c r="B104" s="38"/>
      <c r="C104" s="38"/>
      <c r="D104" s="39"/>
      <c r="E104" s="40"/>
      <c r="F104" s="173"/>
      <c r="G104" s="174"/>
      <c r="H104" s="174"/>
    </row>
    <row r="105" spans="1:8" ht="17.399999999999999" x14ac:dyDescent="0.3">
      <c r="A105" s="191" t="s">
        <v>70</v>
      </c>
      <c r="B105" s="192"/>
      <c r="C105" s="192"/>
      <c r="D105" s="193"/>
      <c r="E105" s="17"/>
      <c r="F105" s="183" t="s">
        <v>62</v>
      </c>
      <c r="G105" s="184"/>
      <c r="H105" s="185"/>
    </row>
    <row r="106" spans="1:8" x14ac:dyDescent="0.3">
      <c r="A106" s="21" t="s">
        <v>21</v>
      </c>
      <c r="B106" s="22" t="s">
        <v>22</v>
      </c>
      <c r="C106" s="22" t="s">
        <v>23</v>
      </c>
      <c r="D106" s="23" t="s">
        <v>25</v>
      </c>
      <c r="E106" s="41"/>
      <c r="F106" s="186"/>
      <c r="G106" s="187"/>
      <c r="H106" s="188"/>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78" t="s">
        <v>63</v>
      </c>
      <c r="B122" s="179"/>
      <c r="C122" s="179"/>
      <c r="D122" s="96">
        <f>SUM(Fence_43[Amount])</f>
        <v>0</v>
      </c>
      <c r="E122" s="34"/>
      <c r="F122" s="173" t="s">
        <v>33</v>
      </c>
      <c r="G122" s="174"/>
      <c r="H122" s="174"/>
    </row>
    <row r="123" spans="1:8" x14ac:dyDescent="0.3">
      <c r="F123" s="173"/>
      <c r="G123" s="174"/>
      <c r="H123" s="174"/>
    </row>
    <row r="124" spans="1:8" ht="17.399999999999999" x14ac:dyDescent="0.3">
      <c r="A124" s="191" t="s">
        <v>26</v>
      </c>
      <c r="B124" s="192"/>
      <c r="C124" s="192"/>
      <c r="D124" s="193"/>
      <c r="E124" s="17"/>
      <c r="F124" s="183" t="s">
        <v>11</v>
      </c>
      <c r="G124" s="184"/>
      <c r="H124" s="185"/>
    </row>
    <row r="125" spans="1:8" x14ac:dyDescent="0.3">
      <c r="A125" s="21" t="s">
        <v>21</v>
      </c>
      <c r="B125" s="22" t="s">
        <v>22</v>
      </c>
      <c r="C125" s="22" t="s">
        <v>23</v>
      </c>
      <c r="D125" s="23" t="s">
        <v>25</v>
      </c>
      <c r="E125" s="41"/>
      <c r="F125" s="186"/>
      <c r="G125" s="187"/>
      <c r="H125" s="188"/>
    </row>
    <row r="126" spans="1:8" x14ac:dyDescent="0.3">
      <c r="A126" s="100"/>
      <c r="B126" s="101"/>
      <c r="C126" s="101"/>
      <c r="D126" s="112">
        <v>26510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78" t="s">
        <v>27</v>
      </c>
      <c r="B141" s="179"/>
      <c r="C141" s="179"/>
      <c r="D141" s="96">
        <f>SUM(Demolition_43[Amount])</f>
        <v>26510</v>
      </c>
      <c r="E141" s="34"/>
      <c r="F141" s="173" t="s">
        <v>33</v>
      </c>
      <c r="G141" s="174"/>
      <c r="H141" s="174"/>
    </row>
    <row r="142" spans="1:8" x14ac:dyDescent="0.3">
      <c r="A142" s="38"/>
      <c r="B142" s="38"/>
      <c r="C142" s="38"/>
      <c r="D142" s="39"/>
      <c r="E142" s="40"/>
      <c r="F142" s="173"/>
      <c r="G142" s="174"/>
      <c r="H142" s="174"/>
    </row>
    <row r="143" spans="1:8" ht="17.399999999999999" x14ac:dyDescent="0.3">
      <c r="A143" s="191" t="s">
        <v>64</v>
      </c>
      <c r="B143" s="192"/>
      <c r="C143" s="192"/>
      <c r="D143" s="193"/>
      <c r="E143" s="17"/>
      <c r="F143" s="183" t="s">
        <v>44</v>
      </c>
      <c r="G143" s="184"/>
      <c r="H143" s="185"/>
    </row>
    <row r="144" spans="1:8" x14ac:dyDescent="0.3">
      <c r="A144" s="21" t="s">
        <v>21</v>
      </c>
      <c r="B144" s="22" t="s">
        <v>22</v>
      </c>
      <c r="C144" s="22" t="s">
        <v>23</v>
      </c>
      <c r="D144" s="23" t="s">
        <v>25</v>
      </c>
      <c r="E144" s="41"/>
      <c r="F144" s="186"/>
      <c r="G144" s="187"/>
      <c r="H144" s="188"/>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78" t="s">
        <v>65</v>
      </c>
      <c r="B160" s="179"/>
      <c r="C160" s="179"/>
      <c r="D160" s="96">
        <f>SUM(Rehab_43[Amount])</f>
        <v>0</v>
      </c>
      <c r="E160" s="34"/>
      <c r="F160" s="173" t="s">
        <v>33</v>
      </c>
      <c r="G160" s="174"/>
      <c r="H160" s="174"/>
    </row>
    <row r="161" spans="6:8" x14ac:dyDescent="0.3">
      <c r="F161" s="173"/>
      <c r="G161" s="174"/>
      <c r="H161" s="174"/>
    </row>
  </sheetData>
  <sheetProtection algorithmName="SHA-512" hashValue="e/VFcAY+s+IQdnd+jQg5gLB6C55TFkMf4c58gXF0nL+P8m8JN5zX/N74AnYS9D14wImZTii3oHNPkB+EX8ZpRw==" saltValue="asvzOh6gFytwSfFUNjs1Iw=="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N161"/>
  <sheetViews>
    <sheetView showGridLines="0" zoomScaleNormal="100" workbookViewId="0">
      <pane ySplit="9" topLeftCell="A121"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5" t="s">
        <v>24</v>
      </c>
      <c r="B1" s="175"/>
      <c r="C1" s="175"/>
      <c r="D1" s="175"/>
      <c r="E1" s="1"/>
      <c r="F1" s="2"/>
      <c r="G1" s="2"/>
      <c r="H1" s="1"/>
    </row>
    <row r="2" spans="1:14" ht="24.9" customHeight="1" x14ac:dyDescent="0.3">
      <c r="A2" s="176" t="s">
        <v>71</v>
      </c>
      <c r="B2" s="176"/>
      <c r="C2" s="176"/>
      <c r="D2" s="176"/>
      <c r="E2" s="4"/>
      <c r="F2" s="120"/>
      <c r="G2" s="120"/>
      <c r="H2" s="5"/>
    </row>
    <row r="3" spans="1:14" ht="31.5" customHeight="1" x14ac:dyDescent="0.3">
      <c r="A3" s="176"/>
      <c r="B3" s="176"/>
      <c r="C3" s="176"/>
      <c r="D3" s="176"/>
      <c r="E3" s="4"/>
      <c r="F3" s="120"/>
      <c r="G3" s="120"/>
      <c r="H3" s="5"/>
    </row>
    <row r="4" spans="1:14" ht="15" customHeight="1" x14ac:dyDescent="0.25">
      <c r="A4" s="75" t="s">
        <v>19</v>
      </c>
      <c r="B4" s="194" t="str">
        <f>IF('Summary Sheet'!B76="","",'Summary Sheet'!B76)</f>
        <v>2036 W 21ST PL</v>
      </c>
      <c r="C4" s="194"/>
      <c r="D4" s="120"/>
      <c r="E4" s="4"/>
      <c r="F4" s="120"/>
      <c r="G4" s="120"/>
      <c r="H4" s="5"/>
    </row>
    <row r="5" spans="1:14" ht="15" customHeight="1" x14ac:dyDescent="0.25">
      <c r="A5" s="75" t="s">
        <v>20</v>
      </c>
      <c r="B5" s="195" t="str">
        <f>IF('Summary Sheet'!C76="","",'Summary Sheet'!C76)</f>
        <v/>
      </c>
      <c r="C5" s="195"/>
      <c r="D5" s="120"/>
      <c r="E5" s="4"/>
      <c r="F5" s="120"/>
      <c r="G5" s="120"/>
      <c r="H5" s="5"/>
    </row>
    <row r="6" spans="1:14" ht="15" customHeight="1" x14ac:dyDescent="0.25">
      <c r="A6" s="75" t="s">
        <v>36</v>
      </c>
      <c r="B6" s="177"/>
      <c r="C6" s="177"/>
      <c r="D6" s="6"/>
      <c r="E6" s="7"/>
    </row>
    <row r="7" spans="1:14" ht="15" customHeight="1" x14ac:dyDescent="0.25">
      <c r="A7" s="7"/>
      <c r="B7" s="196" t="s">
        <v>34</v>
      </c>
      <c r="C7" s="196"/>
      <c r="D7" s="10"/>
    </row>
    <row r="8" spans="1:14" ht="20.100000000000001" customHeight="1" x14ac:dyDescent="0.25">
      <c r="B8" s="11"/>
      <c r="C8" s="11"/>
      <c r="D8" s="12" t="s">
        <v>31</v>
      </c>
      <c r="F8" s="180" t="s">
        <v>32</v>
      </c>
      <c r="G8" s="181"/>
      <c r="H8" s="182"/>
    </row>
    <row r="9" spans="1:14" s="14" customFormat="1" ht="20.100000000000001" customHeight="1" x14ac:dyDescent="0.25">
      <c r="A9" s="197"/>
      <c r="B9" s="197"/>
      <c r="C9" s="197"/>
      <c r="D9" s="13">
        <f>SUM(D27,D46,D65,D84,D103,D122,D141,D160)</f>
        <v>70510</v>
      </c>
      <c r="F9" s="15" t="s">
        <v>28</v>
      </c>
      <c r="G9" s="15" t="s">
        <v>29</v>
      </c>
      <c r="H9" s="15" t="s">
        <v>30</v>
      </c>
      <c r="I9" s="16"/>
      <c r="J9" s="16"/>
      <c r="K9" s="16"/>
      <c r="L9" s="16"/>
      <c r="M9" s="16"/>
      <c r="N9" s="16"/>
    </row>
    <row r="10" spans="1:14" s="17" customFormat="1" ht="23.1" customHeight="1" x14ac:dyDescent="0.3">
      <c r="A10" s="198" t="s">
        <v>51</v>
      </c>
      <c r="B10" s="198"/>
      <c r="C10" s="198"/>
      <c r="D10" s="198"/>
      <c r="F10" s="183" t="s">
        <v>66</v>
      </c>
      <c r="G10" s="184"/>
      <c r="H10" s="185"/>
      <c r="I10" s="18"/>
      <c r="J10" s="18"/>
      <c r="K10" s="18"/>
      <c r="L10" s="18"/>
      <c r="M10" s="19"/>
      <c r="N10" s="20"/>
    </row>
    <row r="11" spans="1:14" s="24" customFormat="1" ht="12.75" customHeight="1" x14ac:dyDescent="0.25">
      <c r="A11" s="21" t="s">
        <v>21</v>
      </c>
      <c r="B11" s="22" t="s">
        <v>22</v>
      </c>
      <c r="C11" s="22" t="s">
        <v>23</v>
      </c>
      <c r="D11" s="23" t="s">
        <v>25</v>
      </c>
      <c r="F11" s="186"/>
      <c r="G11" s="187"/>
      <c r="H11" s="188"/>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78" t="s">
        <v>53</v>
      </c>
      <c r="B27" s="179"/>
      <c r="C27" s="179"/>
      <c r="D27" s="96">
        <f>SUM(Grass_44[Amount])</f>
        <v>0</v>
      </c>
      <c r="F27" s="173" t="s">
        <v>33</v>
      </c>
      <c r="G27" s="174"/>
      <c r="H27" s="174"/>
      <c r="I27" s="35"/>
      <c r="J27" s="35"/>
      <c r="K27" s="35"/>
      <c r="L27" s="35"/>
      <c r="M27" s="36"/>
      <c r="N27" s="37"/>
    </row>
    <row r="28" spans="1:14" s="40" customFormat="1" ht="11.1" customHeight="1" x14ac:dyDescent="0.3">
      <c r="A28" s="38"/>
      <c r="B28" s="38"/>
      <c r="C28" s="38"/>
      <c r="D28" s="39"/>
      <c r="F28" s="173"/>
      <c r="G28" s="174"/>
      <c r="H28" s="174"/>
      <c r="I28" s="35"/>
      <c r="J28" s="35"/>
      <c r="K28" s="35"/>
      <c r="L28" s="35"/>
      <c r="M28" s="36"/>
      <c r="N28" s="37"/>
    </row>
    <row r="29" spans="1:14" s="17" customFormat="1" ht="23.1" customHeight="1" x14ac:dyDescent="0.3">
      <c r="A29" s="191" t="s">
        <v>67</v>
      </c>
      <c r="B29" s="192"/>
      <c r="C29" s="192"/>
      <c r="D29" s="193"/>
      <c r="F29" s="183" t="s">
        <v>52</v>
      </c>
      <c r="G29" s="184"/>
      <c r="H29" s="185"/>
      <c r="I29" s="18"/>
      <c r="J29" s="18"/>
      <c r="K29" s="18"/>
      <c r="L29" s="18"/>
      <c r="M29" s="19"/>
      <c r="N29" s="20"/>
    </row>
    <row r="30" spans="1:14" s="41" customFormat="1" ht="12.75" customHeight="1" x14ac:dyDescent="0.25">
      <c r="A30" s="21" t="s">
        <v>21</v>
      </c>
      <c r="B30" s="22" t="s">
        <v>22</v>
      </c>
      <c r="C30" s="22" t="s">
        <v>23</v>
      </c>
      <c r="D30" s="23" t="s">
        <v>25</v>
      </c>
      <c r="F30" s="186"/>
      <c r="G30" s="187"/>
      <c r="H30" s="188"/>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19"/>
      <c r="J44" s="29"/>
      <c r="K44" s="29"/>
      <c r="L44" s="119"/>
      <c r="M44" s="30"/>
      <c r="N44" s="16"/>
    </row>
    <row r="45" spans="1:14" x14ac:dyDescent="0.3">
      <c r="A45" s="106"/>
      <c r="B45" s="107"/>
      <c r="C45" s="107"/>
      <c r="D45" s="114"/>
      <c r="F45" s="103"/>
      <c r="G45" s="104"/>
      <c r="H45" s="109"/>
      <c r="I45" s="119"/>
      <c r="J45" s="29"/>
      <c r="K45" s="29"/>
      <c r="L45" s="119"/>
      <c r="M45" s="30"/>
      <c r="N45" s="16"/>
    </row>
    <row r="46" spans="1:14" s="34" customFormat="1" x14ac:dyDescent="0.3">
      <c r="A46" s="178" t="s">
        <v>54</v>
      </c>
      <c r="B46" s="179"/>
      <c r="C46" s="179"/>
      <c r="D46" s="96">
        <f>SUM(Tree_44[Amount])</f>
        <v>0</v>
      </c>
      <c r="F46" s="173" t="s">
        <v>33</v>
      </c>
      <c r="G46" s="174"/>
      <c r="H46" s="174"/>
      <c r="I46" s="43"/>
      <c r="J46" s="43"/>
      <c r="K46" s="43"/>
      <c r="L46" s="43"/>
      <c r="M46" s="36"/>
      <c r="N46" s="37"/>
    </row>
    <row r="47" spans="1:14" s="40" customFormat="1" ht="11.1" customHeight="1" x14ac:dyDescent="0.3">
      <c r="A47" s="38"/>
      <c r="B47" s="38"/>
      <c r="C47" s="38"/>
      <c r="D47" s="39"/>
      <c r="F47" s="173"/>
      <c r="G47" s="174"/>
      <c r="H47" s="174"/>
      <c r="I47" s="43"/>
      <c r="J47" s="43"/>
      <c r="K47" s="43"/>
      <c r="L47" s="43"/>
      <c r="M47" s="36"/>
      <c r="N47" s="37"/>
    </row>
    <row r="48" spans="1:14" s="17" customFormat="1" ht="23.1" customHeight="1" x14ac:dyDescent="0.3">
      <c r="A48" s="191" t="s">
        <v>68</v>
      </c>
      <c r="B48" s="192"/>
      <c r="C48" s="192"/>
      <c r="D48" s="193"/>
      <c r="F48" s="183" t="s">
        <v>55</v>
      </c>
      <c r="G48" s="184"/>
      <c r="H48" s="185"/>
      <c r="I48" s="44"/>
      <c r="J48" s="44"/>
      <c r="K48" s="44"/>
      <c r="L48" s="44"/>
      <c r="M48" s="19"/>
      <c r="N48" s="20"/>
    </row>
    <row r="49" spans="1:14" s="41" customFormat="1" ht="12.75" customHeight="1" x14ac:dyDescent="0.25">
      <c r="A49" s="21" t="s">
        <v>21</v>
      </c>
      <c r="B49" s="22" t="s">
        <v>22</v>
      </c>
      <c r="C49" s="22" t="s">
        <v>23</v>
      </c>
      <c r="D49" s="23" t="s">
        <v>25</v>
      </c>
      <c r="F49" s="186"/>
      <c r="G49" s="187"/>
      <c r="H49" s="188"/>
      <c r="I49" s="119"/>
      <c r="J49" s="119"/>
      <c r="K49" s="119"/>
      <c r="L49" s="119"/>
      <c r="M49" s="30"/>
      <c r="N49" s="42"/>
    </row>
    <row r="50" spans="1:14" x14ac:dyDescent="0.3">
      <c r="A50" s="100"/>
      <c r="B50" s="101"/>
      <c r="C50" s="101"/>
      <c r="D50" s="112"/>
      <c r="F50" s="103"/>
      <c r="G50" s="104"/>
      <c r="H50" s="109"/>
      <c r="I50" s="119"/>
      <c r="J50" s="119"/>
      <c r="K50" s="119"/>
      <c r="L50" s="119"/>
      <c r="M50" s="30"/>
      <c r="N50" s="16"/>
    </row>
    <row r="51" spans="1:14" x14ac:dyDescent="0.3">
      <c r="A51" s="106"/>
      <c r="B51" s="107"/>
      <c r="C51" s="107"/>
      <c r="D51" s="113"/>
      <c r="F51" s="103"/>
      <c r="G51" s="104"/>
      <c r="H51" s="109"/>
      <c r="I51" s="119"/>
      <c r="J51" s="119"/>
      <c r="K51" s="119"/>
      <c r="L51" s="119"/>
      <c r="M51" s="30"/>
      <c r="N51" s="16"/>
    </row>
    <row r="52" spans="1:14" x14ac:dyDescent="0.3">
      <c r="A52" s="106"/>
      <c r="B52" s="107"/>
      <c r="C52" s="107"/>
      <c r="D52" s="114"/>
      <c r="F52" s="103"/>
      <c r="H52" s="109"/>
      <c r="I52" s="119"/>
      <c r="J52" s="119"/>
      <c r="K52" s="119"/>
      <c r="L52" s="119"/>
      <c r="M52" s="30"/>
      <c r="N52" s="16"/>
    </row>
    <row r="53" spans="1:14" x14ac:dyDescent="0.3">
      <c r="A53" s="106"/>
      <c r="B53" s="107"/>
      <c r="C53" s="107"/>
      <c r="D53" s="113"/>
      <c r="F53" s="103"/>
      <c r="G53" s="104"/>
      <c r="H53" s="109"/>
      <c r="I53" s="119"/>
      <c r="J53" s="119"/>
      <c r="K53" s="119"/>
      <c r="L53" s="119"/>
      <c r="M53" s="30"/>
      <c r="N53" s="16"/>
    </row>
    <row r="54" spans="1:14" x14ac:dyDescent="0.3">
      <c r="A54" s="106"/>
      <c r="B54" s="107"/>
      <c r="C54" s="107"/>
      <c r="D54" s="114"/>
      <c r="F54" s="103"/>
      <c r="G54" s="104"/>
      <c r="H54" s="109"/>
      <c r="I54" s="119"/>
      <c r="J54" s="119"/>
      <c r="K54" s="119"/>
      <c r="L54" s="119"/>
      <c r="M54" s="30"/>
      <c r="N54" s="16"/>
    </row>
    <row r="55" spans="1:14" x14ac:dyDescent="0.3">
      <c r="A55" s="106"/>
      <c r="B55" s="107"/>
      <c r="C55" s="107"/>
      <c r="D55" s="113"/>
      <c r="F55" s="103"/>
      <c r="G55" s="104"/>
      <c r="H55" s="109"/>
      <c r="I55" s="119"/>
      <c r="J55" s="119"/>
      <c r="K55" s="119"/>
      <c r="L55" s="119"/>
      <c r="M55" s="30"/>
      <c r="N55" s="16"/>
    </row>
    <row r="56" spans="1:14" x14ac:dyDescent="0.3">
      <c r="A56" s="106"/>
      <c r="B56" s="107"/>
      <c r="C56" s="107"/>
      <c r="D56" s="114"/>
      <c r="F56" s="103"/>
      <c r="G56" s="104"/>
      <c r="H56" s="109"/>
      <c r="I56" s="119"/>
      <c r="J56" s="119"/>
      <c r="K56" s="119"/>
      <c r="L56" s="119"/>
      <c r="M56" s="30"/>
      <c r="N56" s="16"/>
    </row>
    <row r="57" spans="1:14" x14ac:dyDescent="0.3">
      <c r="A57" s="106"/>
      <c r="B57" s="107"/>
      <c r="C57" s="107"/>
      <c r="D57" s="113"/>
      <c r="F57" s="103"/>
      <c r="G57" s="104"/>
      <c r="H57" s="109"/>
      <c r="I57" s="119"/>
      <c r="J57" s="119"/>
      <c r="K57" s="119"/>
      <c r="L57" s="119"/>
      <c r="M57" s="30"/>
      <c r="N57" s="16"/>
    </row>
    <row r="58" spans="1:14" x14ac:dyDescent="0.3">
      <c r="A58" s="106"/>
      <c r="B58" s="107"/>
      <c r="C58" s="107"/>
      <c r="D58" s="114"/>
      <c r="F58" s="103"/>
      <c r="G58" s="104"/>
      <c r="H58" s="109"/>
      <c r="I58" s="119"/>
      <c r="J58" s="119"/>
      <c r="K58" s="119"/>
      <c r="L58" s="119"/>
      <c r="M58" s="30"/>
      <c r="N58" s="16"/>
    </row>
    <row r="59" spans="1:14" x14ac:dyDescent="0.3">
      <c r="A59" s="106"/>
      <c r="B59" s="107"/>
      <c r="C59" s="107"/>
      <c r="D59" s="113"/>
      <c r="F59" s="103"/>
      <c r="G59" s="104"/>
      <c r="H59" s="109"/>
      <c r="I59" s="119"/>
      <c r="J59" s="190"/>
      <c r="K59" s="190"/>
      <c r="L59" s="119"/>
      <c r="M59" s="30"/>
      <c r="N59" s="16"/>
    </row>
    <row r="60" spans="1:14" x14ac:dyDescent="0.3">
      <c r="A60" s="106"/>
      <c r="B60" s="107"/>
      <c r="C60" s="107"/>
      <c r="D60" s="114"/>
      <c r="F60" s="103"/>
      <c r="G60" s="104"/>
      <c r="H60" s="109"/>
      <c r="I60" s="189"/>
      <c r="J60" s="189"/>
      <c r="K60" s="189"/>
      <c r="L60" s="189"/>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78" t="s">
        <v>56</v>
      </c>
      <c r="B65" s="179"/>
      <c r="C65" s="179"/>
      <c r="D65" s="96">
        <f>SUM(Pest_44[Amount])</f>
        <v>0</v>
      </c>
      <c r="F65" s="173" t="s">
        <v>33</v>
      </c>
      <c r="G65" s="174"/>
      <c r="H65" s="174"/>
    </row>
    <row r="66" spans="1:8" x14ac:dyDescent="0.3">
      <c r="F66" s="173"/>
      <c r="G66" s="174"/>
      <c r="H66" s="174"/>
    </row>
    <row r="67" spans="1:8" ht="17.399999999999999" x14ac:dyDescent="0.3">
      <c r="A67" s="198" t="s">
        <v>69</v>
      </c>
      <c r="B67" s="198"/>
      <c r="C67" s="198"/>
      <c r="D67" s="198"/>
      <c r="E67" s="17"/>
      <c r="F67" s="183" t="s">
        <v>57</v>
      </c>
      <c r="G67" s="184"/>
      <c r="H67" s="185"/>
    </row>
    <row r="68" spans="1:8" x14ac:dyDescent="0.3">
      <c r="A68" s="21" t="s">
        <v>21</v>
      </c>
      <c r="B68" s="22" t="s">
        <v>22</v>
      </c>
      <c r="C68" s="22" t="s">
        <v>23</v>
      </c>
      <c r="D68" s="23" t="s">
        <v>25</v>
      </c>
      <c r="E68" s="24"/>
      <c r="F68" s="186"/>
      <c r="G68" s="187"/>
      <c r="H68" s="188"/>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78" t="s">
        <v>58</v>
      </c>
      <c r="B84" s="179"/>
      <c r="C84" s="179"/>
      <c r="D84" s="96">
        <f>SUM(Garbage_44[Amount])</f>
        <v>0</v>
      </c>
      <c r="E84" s="34"/>
      <c r="F84" s="173" t="s">
        <v>33</v>
      </c>
      <c r="G84" s="174"/>
      <c r="H84" s="174"/>
    </row>
    <row r="85" spans="1:8" x14ac:dyDescent="0.3">
      <c r="A85" s="38"/>
      <c r="B85" s="38"/>
      <c r="C85" s="38"/>
      <c r="D85" s="39"/>
      <c r="E85" s="40"/>
      <c r="F85" s="173"/>
      <c r="G85" s="174"/>
      <c r="H85" s="174"/>
    </row>
    <row r="86" spans="1:8" ht="17.399999999999999" x14ac:dyDescent="0.3">
      <c r="A86" s="191" t="s">
        <v>59</v>
      </c>
      <c r="B86" s="192"/>
      <c r="C86" s="192"/>
      <c r="D86" s="193"/>
      <c r="E86" s="17"/>
      <c r="F86" s="183" t="s">
        <v>60</v>
      </c>
      <c r="G86" s="184"/>
      <c r="H86" s="185"/>
    </row>
    <row r="87" spans="1:8" x14ac:dyDescent="0.3">
      <c r="A87" s="21" t="s">
        <v>21</v>
      </c>
      <c r="B87" s="22" t="s">
        <v>22</v>
      </c>
      <c r="C87" s="22" t="s">
        <v>23</v>
      </c>
      <c r="D87" s="23" t="s">
        <v>25</v>
      </c>
      <c r="E87" s="41"/>
      <c r="F87" s="186"/>
      <c r="G87" s="187"/>
      <c r="H87" s="188"/>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78" t="s">
        <v>61</v>
      </c>
      <c r="B103" s="179"/>
      <c r="C103" s="179"/>
      <c r="D103" s="96">
        <f>SUM(Boarding_44[Amount])</f>
        <v>0</v>
      </c>
      <c r="E103" s="34"/>
      <c r="F103" s="173" t="s">
        <v>33</v>
      </c>
      <c r="G103" s="174"/>
      <c r="H103" s="174"/>
    </row>
    <row r="104" spans="1:8" x14ac:dyDescent="0.3">
      <c r="A104" s="38"/>
      <c r="B104" s="38"/>
      <c r="C104" s="38"/>
      <c r="D104" s="39"/>
      <c r="E104" s="40"/>
      <c r="F104" s="173"/>
      <c r="G104" s="174"/>
      <c r="H104" s="174"/>
    </row>
    <row r="105" spans="1:8" ht="17.399999999999999" x14ac:dyDescent="0.3">
      <c r="A105" s="191" t="s">
        <v>70</v>
      </c>
      <c r="B105" s="192"/>
      <c r="C105" s="192"/>
      <c r="D105" s="193"/>
      <c r="E105" s="17"/>
      <c r="F105" s="183" t="s">
        <v>62</v>
      </c>
      <c r="G105" s="184"/>
      <c r="H105" s="185"/>
    </row>
    <row r="106" spans="1:8" x14ac:dyDescent="0.3">
      <c r="A106" s="21" t="s">
        <v>21</v>
      </c>
      <c r="B106" s="22" t="s">
        <v>22</v>
      </c>
      <c r="C106" s="22" t="s">
        <v>23</v>
      </c>
      <c r="D106" s="23" t="s">
        <v>25</v>
      </c>
      <c r="E106" s="41"/>
      <c r="F106" s="186"/>
      <c r="G106" s="187"/>
      <c r="H106" s="188"/>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78" t="s">
        <v>63</v>
      </c>
      <c r="B122" s="179"/>
      <c r="C122" s="179"/>
      <c r="D122" s="96">
        <f>SUM(Fence_44[Amount])</f>
        <v>0</v>
      </c>
      <c r="E122" s="34"/>
      <c r="F122" s="173" t="s">
        <v>33</v>
      </c>
      <c r="G122" s="174"/>
      <c r="H122" s="174"/>
    </row>
    <row r="123" spans="1:8" x14ac:dyDescent="0.3">
      <c r="F123" s="173"/>
      <c r="G123" s="174"/>
      <c r="H123" s="174"/>
    </row>
    <row r="124" spans="1:8" ht="17.399999999999999" x14ac:dyDescent="0.3">
      <c r="A124" s="191" t="s">
        <v>26</v>
      </c>
      <c r="B124" s="192"/>
      <c r="C124" s="192"/>
      <c r="D124" s="193"/>
      <c r="E124" s="17"/>
      <c r="F124" s="183" t="s">
        <v>11</v>
      </c>
      <c r="G124" s="184"/>
      <c r="H124" s="185"/>
    </row>
    <row r="125" spans="1:8" x14ac:dyDescent="0.3">
      <c r="A125" s="21" t="s">
        <v>21</v>
      </c>
      <c r="B125" s="22" t="s">
        <v>22</v>
      </c>
      <c r="C125" s="22" t="s">
        <v>23</v>
      </c>
      <c r="D125" s="23" t="s">
        <v>25</v>
      </c>
      <c r="E125" s="41"/>
      <c r="F125" s="186"/>
      <c r="G125" s="187"/>
      <c r="H125" s="188"/>
    </row>
    <row r="126" spans="1:8" x14ac:dyDescent="0.3">
      <c r="A126" s="100"/>
      <c r="B126" s="101"/>
      <c r="C126" s="101"/>
      <c r="D126" s="112">
        <v>70510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78" t="s">
        <v>27</v>
      </c>
      <c r="B141" s="179"/>
      <c r="C141" s="179"/>
      <c r="D141" s="96">
        <f>SUM(Demolition_44[Amount])</f>
        <v>70510</v>
      </c>
      <c r="E141" s="34"/>
      <c r="F141" s="173" t="s">
        <v>33</v>
      </c>
      <c r="G141" s="174"/>
      <c r="H141" s="174"/>
    </row>
    <row r="142" spans="1:8" x14ac:dyDescent="0.3">
      <c r="A142" s="38"/>
      <c r="B142" s="38"/>
      <c r="C142" s="38"/>
      <c r="D142" s="39"/>
      <c r="E142" s="40"/>
      <c r="F142" s="173"/>
      <c r="G142" s="174"/>
      <c r="H142" s="174"/>
    </row>
    <row r="143" spans="1:8" ht="17.399999999999999" x14ac:dyDescent="0.3">
      <c r="A143" s="191" t="s">
        <v>64</v>
      </c>
      <c r="B143" s="192"/>
      <c r="C143" s="192"/>
      <c r="D143" s="193"/>
      <c r="E143" s="17"/>
      <c r="F143" s="183" t="s">
        <v>44</v>
      </c>
      <c r="G143" s="184"/>
      <c r="H143" s="185"/>
    </row>
    <row r="144" spans="1:8" x14ac:dyDescent="0.3">
      <c r="A144" s="21" t="s">
        <v>21</v>
      </c>
      <c r="B144" s="22" t="s">
        <v>22</v>
      </c>
      <c r="C144" s="22" t="s">
        <v>23</v>
      </c>
      <c r="D144" s="23" t="s">
        <v>25</v>
      </c>
      <c r="E144" s="41"/>
      <c r="F144" s="186"/>
      <c r="G144" s="187"/>
      <c r="H144" s="188"/>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78" t="s">
        <v>65</v>
      </c>
      <c r="B160" s="179"/>
      <c r="C160" s="179"/>
      <c r="D160" s="96">
        <f>SUM(Rehab_44[Amount])</f>
        <v>0</v>
      </c>
      <c r="E160" s="34"/>
      <c r="F160" s="173" t="s">
        <v>33</v>
      </c>
      <c r="G160" s="174"/>
      <c r="H160" s="174"/>
    </row>
    <row r="161" spans="6:8" x14ac:dyDescent="0.3">
      <c r="F161" s="173"/>
      <c r="G161" s="174"/>
      <c r="H161" s="174"/>
    </row>
  </sheetData>
  <sheetProtection algorithmName="SHA-512" hashValue="VruQVqQWPMJ5azP7F+bVQLzMwFJ8dkEYemsubTOjj+wdMzN0k+elx2iRMPnNJvkSrBrbay2Pvo0tDfUdO+dJbw==" saltValue="GxY8CjwEj2qxE3DRsSDsgA=="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A1:N161"/>
  <sheetViews>
    <sheetView showGridLines="0" zoomScaleNormal="100" workbookViewId="0">
      <pane ySplit="9" topLeftCell="A118"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5" t="s">
        <v>24</v>
      </c>
      <c r="B1" s="175"/>
      <c r="C1" s="175"/>
      <c r="D1" s="175"/>
      <c r="E1" s="1"/>
      <c r="F1" s="2"/>
      <c r="G1" s="2"/>
      <c r="H1" s="1"/>
    </row>
    <row r="2" spans="1:14" ht="24.9" customHeight="1" x14ac:dyDescent="0.3">
      <c r="A2" s="176" t="s">
        <v>71</v>
      </c>
      <c r="B2" s="176"/>
      <c r="C2" s="176"/>
      <c r="D2" s="176"/>
      <c r="E2" s="4"/>
      <c r="F2" s="120"/>
      <c r="G2" s="120"/>
      <c r="H2" s="5"/>
    </row>
    <row r="3" spans="1:14" ht="31.5" customHeight="1" x14ac:dyDescent="0.3">
      <c r="A3" s="176"/>
      <c r="B3" s="176"/>
      <c r="C3" s="176"/>
      <c r="D3" s="176"/>
      <c r="E3" s="4"/>
      <c r="F3" s="120"/>
      <c r="G3" s="120"/>
      <c r="H3" s="5"/>
    </row>
    <row r="4" spans="1:14" ht="15" customHeight="1" x14ac:dyDescent="0.25">
      <c r="A4" s="75" t="s">
        <v>19</v>
      </c>
      <c r="B4" s="194" t="str">
        <f>IF('Summary Sheet'!B77="","",'Summary Sheet'!B77)</f>
        <v>2040 W 70TH ST</v>
      </c>
      <c r="C4" s="194"/>
      <c r="D4" s="120"/>
      <c r="E4" s="4"/>
      <c r="F4" s="120"/>
      <c r="G4" s="120"/>
      <c r="H4" s="5"/>
    </row>
    <row r="5" spans="1:14" ht="15" customHeight="1" x14ac:dyDescent="0.25">
      <c r="A5" s="75" t="s">
        <v>20</v>
      </c>
      <c r="B5" s="195" t="str">
        <f>IF('Summary Sheet'!C77="","",'Summary Sheet'!C77)</f>
        <v/>
      </c>
      <c r="C5" s="195"/>
      <c r="D5" s="120"/>
      <c r="E5" s="4"/>
      <c r="F5" s="120"/>
      <c r="G5" s="120"/>
      <c r="H5" s="5"/>
    </row>
    <row r="6" spans="1:14" ht="15" customHeight="1" x14ac:dyDescent="0.25">
      <c r="A6" s="75" t="s">
        <v>36</v>
      </c>
      <c r="B6" s="177"/>
      <c r="C6" s="177"/>
      <c r="D6" s="6"/>
      <c r="E6" s="7"/>
    </row>
    <row r="7" spans="1:14" ht="15" customHeight="1" x14ac:dyDescent="0.25">
      <c r="A7" s="7"/>
      <c r="B7" s="196" t="s">
        <v>34</v>
      </c>
      <c r="C7" s="196"/>
      <c r="D7" s="10"/>
    </row>
    <row r="8" spans="1:14" ht="20.100000000000001" customHeight="1" x14ac:dyDescent="0.25">
      <c r="B8" s="11"/>
      <c r="C8" s="11"/>
      <c r="D8" s="12" t="s">
        <v>31</v>
      </c>
      <c r="F8" s="180" t="s">
        <v>32</v>
      </c>
      <c r="G8" s="181"/>
      <c r="H8" s="182"/>
    </row>
    <row r="9" spans="1:14" s="14" customFormat="1" ht="20.100000000000001" customHeight="1" x14ac:dyDescent="0.25">
      <c r="A9" s="197"/>
      <c r="B9" s="197"/>
      <c r="C9" s="197"/>
      <c r="D9" s="13">
        <f>SUM(D27,D46,D65,D84,D103,D122,D141,D160)</f>
        <v>25850</v>
      </c>
      <c r="F9" s="15" t="s">
        <v>28</v>
      </c>
      <c r="G9" s="15" t="s">
        <v>29</v>
      </c>
      <c r="H9" s="15" t="s">
        <v>30</v>
      </c>
      <c r="I9" s="16"/>
      <c r="J9" s="16"/>
      <c r="K9" s="16"/>
      <c r="L9" s="16"/>
      <c r="M9" s="16"/>
      <c r="N9" s="16"/>
    </row>
    <row r="10" spans="1:14" s="17" customFormat="1" ht="23.1" customHeight="1" x14ac:dyDescent="0.3">
      <c r="A10" s="198" t="s">
        <v>51</v>
      </c>
      <c r="B10" s="198"/>
      <c r="C10" s="198"/>
      <c r="D10" s="198"/>
      <c r="F10" s="183" t="s">
        <v>66</v>
      </c>
      <c r="G10" s="184"/>
      <c r="H10" s="185"/>
      <c r="I10" s="18"/>
      <c r="J10" s="18"/>
      <c r="K10" s="18"/>
      <c r="L10" s="18"/>
      <c r="M10" s="19"/>
      <c r="N10" s="20"/>
    </row>
    <row r="11" spans="1:14" s="24" customFormat="1" ht="12.75" customHeight="1" x14ac:dyDescent="0.25">
      <c r="A11" s="21" t="s">
        <v>21</v>
      </c>
      <c r="B11" s="22" t="s">
        <v>22</v>
      </c>
      <c r="C11" s="22" t="s">
        <v>23</v>
      </c>
      <c r="D11" s="23" t="s">
        <v>25</v>
      </c>
      <c r="F11" s="186"/>
      <c r="G11" s="187"/>
      <c r="H11" s="188"/>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78" t="s">
        <v>53</v>
      </c>
      <c r="B27" s="179"/>
      <c r="C27" s="179"/>
      <c r="D27" s="96">
        <f>SUM(Grass_45[Amount])</f>
        <v>0</v>
      </c>
      <c r="F27" s="173" t="s">
        <v>33</v>
      </c>
      <c r="G27" s="174"/>
      <c r="H27" s="174"/>
      <c r="I27" s="35"/>
      <c r="J27" s="35"/>
      <c r="K27" s="35"/>
      <c r="L27" s="35"/>
      <c r="M27" s="36"/>
      <c r="N27" s="37"/>
    </row>
    <row r="28" spans="1:14" s="40" customFormat="1" ht="11.1" customHeight="1" x14ac:dyDescent="0.3">
      <c r="A28" s="38"/>
      <c r="B28" s="38"/>
      <c r="C28" s="38"/>
      <c r="D28" s="39"/>
      <c r="F28" s="173"/>
      <c r="G28" s="174"/>
      <c r="H28" s="174"/>
      <c r="I28" s="35"/>
      <c r="J28" s="35"/>
      <c r="K28" s="35"/>
      <c r="L28" s="35"/>
      <c r="M28" s="36"/>
      <c r="N28" s="37"/>
    </row>
    <row r="29" spans="1:14" s="17" customFormat="1" ht="23.1" customHeight="1" x14ac:dyDescent="0.3">
      <c r="A29" s="191" t="s">
        <v>67</v>
      </c>
      <c r="B29" s="192"/>
      <c r="C29" s="192"/>
      <c r="D29" s="193"/>
      <c r="F29" s="183" t="s">
        <v>52</v>
      </c>
      <c r="G29" s="184"/>
      <c r="H29" s="185"/>
      <c r="I29" s="18"/>
      <c r="J29" s="18"/>
      <c r="K29" s="18"/>
      <c r="L29" s="18"/>
      <c r="M29" s="19"/>
      <c r="N29" s="20"/>
    </row>
    <row r="30" spans="1:14" s="41" customFormat="1" ht="12.75" customHeight="1" x14ac:dyDescent="0.25">
      <c r="A30" s="21" t="s">
        <v>21</v>
      </c>
      <c r="B30" s="22" t="s">
        <v>22</v>
      </c>
      <c r="C30" s="22" t="s">
        <v>23</v>
      </c>
      <c r="D30" s="23" t="s">
        <v>25</v>
      </c>
      <c r="F30" s="186"/>
      <c r="G30" s="187"/>
      <c r="H30" s="188"/>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19"/>
      <c r="J44" s="29"/>
      <c r="K44" s="29"/>
      <c r="L44" s="119"/>
      <c r="M44" s="30"/>
      <c r="N44" s="16"/>
    </row>
    <row r="45" spans="1:14" x14ac:dyDescent="0.3">
      <c r="A45" s="106"/>
      <c r="B45" s="107"/>
      <c r="C45" s="107"/>
      <c r="D45" s="114"/>
      <c r="F45" s="103"/>
      <c r="G45" s="104"/>
      <c r="H45" s="109"/>
      <c r="I45" s="119"/>
      <c r="J45" s="29"/>
      <c r="K45" s="29"/>
      <c r="L45" s="119"/>
      <c r="M45" s="30"/>
      <c r="N45" s="16"/>
    </row>
    <row r="46" spans="1:14" s="34" customFormat="1" x14ac:dyDescent="0.3">
      <c r="A46" s="178" t="s">
        <v>54</v>
      </c>
      <c r="B46" s="179"/>
      <c r="C46" s="179"/>
      <c r="D46" s="96">
        <f>SUM(Tree_45[Amount])</f>
        <v>0</v>
      </c>
      <c r="F46" s="173" t="s">
        <v>33</v>
      </c>
      <c r="G46" s="174"/>
      <c r="H46" s="174"/>
      <c r="I46" s="43"/>
      <c r="J46" s="43"/>
      <c r="K46" s="43"/>
      <c r="L46" s="43"/>
      <c r="M46" s="36"/>
      <c r="N46" s="37"/>
    </row>
    <row r="47" spans="1:14" s="40" customFormat="1" ht="11.1" customHeight="1" x14ac:dyDescent="0.3">
      <c r="A47" s="38"/>
      <c r="B47" s="38"/>
      <c r="C47" s="38"/>
      <c r="D47" s="39"/>
      <c r="F47" s="173"/>
      <c r="G47" s="174"/>
      <c r="H47" s="174"/>
      <c r="I47" s="43"/>
      <c r="J47" s="43"/>
      <c r="K47" s="43"/>
      <c r="L47" s="43"/>
      <c r="M47" s="36"/>
      <c r="N47" s="37"/>
    </row>
    <row r="48" spans="1:14" s="17" customFormat="1" ht="23.1" customHeight="1" x14ac:dyDescent="0.3">
      <c r="A48" s="191" t="s">
        <v>68</v>
      </c>
      <c r="B48" s="192"/>
      <c r="C48" s="192"/>
      <c r="D48" s="193"/>
      <c r="F48" s="183" t="s">
        <v>55</v>
      </c>
      <c r="G48" s="184"/>
      <c r="H48" s="185"/>
      <c r="I48" s="44"/>
      <c r="J48" s="44"/>
      <c r="K48" s="44"/>
      <c r="L48" s="44"/>
      <c r="M48" s="19"/>
      <c r="N48" s="20"/>
    </row>
    <row r="49" spans="1:14" s="41" customFormat="1" ht="12.75" customHeight="1" x14ac:dyDescent="0.25">
      <c r="A49" s="21" t="s">
        <v>21</v>
      </c>
      <c r="B49" s="22" t="s">
        <v>22</v>
      </c>
      <c r="C49" s="22" t="s">
        <v>23</v>
      </c>
      <c r="D49" s="23" t="s">
        <v>25</v>
      </c>
      <c r="F49" s="186"/>
      <c r="G49" s="187"/>
      <c r="H49" s="188"/>
      <c r="I49" s="119"/>
      <c r="J49" s="119"/>
      <c r="K49" s="119"/>
      <c r="L49" s="119"/>
      <c r="M49" s="30"/>
      <c r="N49" s="42"/>
    </row>
    <row r="50" spans="1:14" x14ac:dyDescent="0.3">
      <c r="A50" s="100"/>
      <c r="B50" s="101"/>
      <c r="C50" s="101"/>
      <c r="D50" s="112"/>
      <c r="F50" s="103"/>
      <c r="G50" s="104"/>
      <c r="H50" s="109"/>
      <c r="I50" s="119"/>
      <c r="J50" s="119"/>
      <c r="K50" s="119"/>
      <c r="L50" s="119"/>
      <c r="M50" s="30"/>
      <c r="N50" s="16"/>
    </row>
    <row r="51" spans="1:14" x14ac:dyDescent="0.3">
      <c r="A51" s="106"/>
      <c r="B51" s="107"/>
      <c r="C51" s="107"/>
      <c r="D51" s="113"/>
      <c r="F51" s="103"/>
      <c r="G51" s="104"/>
      <c r="H51" s="109"/>
      <c r="I51" s="119"/>
      <c r="J51" s="119"/>
      <c r="K51" s="119"/>
      <c r="L51" s="119"/>
      <c r="M51" s="30"/>
      <c r="N51" s="16"/>
    </row>
    <row r="52" spans="1:14" x14ac:dyDescent="0.3">
      <c r="A52" s="106"/>
      <c r="B52" s="107"/>
      <c r="C52" s="107"/>
      <c r="D52" s="114"/>
      <c r="F52" s="103"/>
      <c r="H52" s="109"/>
      <c r="I52" s="119"/>
      <c r="J52" s="119"/>
      <c r="K52" s="119"/>
      <c r="L52" s="119"/>
      <c r="M52" s="30"/>
      <c r="N52" s="16"/>
    </row>
    <row r="53" spans="1:14" x14ac:dyDescent="0.3">
      <c r="A53" s="106"/>
      <c r="B53" s="107"/>
      <c r="C53" s="107"/>
      <c r="D53" s="113"/>
      <c r="F53" s="103"/>
      <c r="G53" s="104"/>
      <c r="H53" s="109"/>
      <c r="I53" s="119"/>
      <c r="J53" s="119"/>
      <c r="K53" s="119"/>
      <c r="L53" s="119"/>
      <c r="M53" s="30"/>
      <c r="N53" s="16"/>
    </row>
    <row r="54" spans="1:14" x14ac:dyDescent="0.3">
      <c r="A54" s="106"/>
      <c r="B54" s="107"/>
      <c r="C54" s="107"/>
      <c r="D54" s="114"/>
      <c r="F54" s="103"/>
      <c r="G54" s="104"/>
      <c r="H54" s="109"/>
      <c r="I54" s="119"/>
      <c r="J54" s="119"/>
      <c r="K54" s="119"/>
      <c r="L54" s="119"/>
      <c r="M54" s="30"/>
      <c r="N54" s="16"/>
    </row>
    <row r="55" spans="1:14" x14ac:dyDescent="0.3">
      <c r="A55" s="106"/>
      <c r="B55" s="107"/>
      <c r="C55" s="107"/>
      <c r="D55" s="113"/>
      <c r="F55" s="103"/>
      <c r="G55" s="104"/>
      <c r="H55" s="109"/>
      <c r="I55" s="119"/>
      <c r="J55" s="119"/>
      <c r="K55" s="119"/>
      <c r="L55" s="119"/>
      <c r="M55" s="30"/>
      <c r="N55" s="16"/>
    </row>
    <row r="56" spans="1:14" x14ac:dyDescent="0.3">
      <c r="A56" s="106"/>
      <c r="B56" s="107"/>
      <c r="C56" s="107"/>
      <c r="D56" s="114"/>
      <c r="F56" s="103"/>
      <c r="G56" s="104"/>
      <c r="H56" s="109"/>
      <c r="I56" s="119"/>
      <c r="J56" s="119"/>
      <c r="K56" s="119"/>
      <c r="L56" s="119"/>
      <c r="M56" s="30"/>
      <c r="N56" s="16"/>
    </row>
    <row r="57" spans="1:14" x14ac:dyDescent="0.3">
      <c r="A57" s="106"/>
      <c r="B57" s="107"/>
      <c r="C57" s="107"/>
      <c r="D57" s="113"/>
      <c r="F57" s="103"/>
      <c r="G57" s="104"/>
      <c r="H57" s="109"/>
      <c r="I57" s="119"/>
      <c r="J57" s="119"/>
      <c r="K57" s="119"/>
      <c r="L57" s="119"/>
      <c r="M57" s="30"/>
      <c r="N57" s="16"/>
    </row>
    <row r="58" spans="1:14" x14ac:dyDescent="0.3">
      <c r="A58" s="106"/>
      <c r="B58" s="107"/>
      <c r="C58" s="107"/>
      <c r="D58" s="114"/>
      <c r="F58" s="103"/>
      <c r="G58" s="104"/>
      <c r="H58" s="109"/>
      <c r="I58" s="119"/>
      <c r="J58" s="119"/>
      <c r="K58" s="119"/>
      <c r="L58" s="119"/>
      <c r="M58" s="30"/>
      <c r="N58" s="16"/>
    </row>
    <row r="59" spans="1:14" x14ac:dyDescent="0.3">
      <c r="A59" s="106"/>
      <c r="B59" s="107"/>
      <c r="C59" s="107"/>
      <c r="D59" s="113"/>
      <c r="F59" s="103"/>
      <c r="G59" s="104"/>
      <c r="H59" s="109"/>
      <c r="I59" s="119"/>
      <c r="J59" s="190"/>
      <c r="K59" s="190"/>
      <c r="L59" s="119"/>
      <c r="M59" s="30"/>
      <c r="N59" s="16"/>
    </row>
    <row r="60" spans="1:14" x14ac:dyDescent="0.3">
      <c r="A60" s="106"/>
      <c r="B60" s="107"/>
      <c r="C60" s="107"/>
      <c r="D60" s="114"/>
      <c r="F60" s="103"/>
      <c r="G60" s="104"/>
      <c r="H60" s="109"/>
      <c r="I60" s="189"/>
      <c r="J60" s="189"/>
      <c r="K60" s="189"/>
      <c r="L60" s="189"/>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78" t="s">
        <v>56</v>
      </c>
      <c r="B65" s="179"/>
      <c r="C65" s="179"/>
      <c r="D65" s="96">
        <f>SUM(Pest_45[Amount])</f>
        <v>0</v>
      </c>
      <c r="F65" s="173" t="s">
        <v>33</v>
      </c>
      <c r="G65" s="174"/>
      <c r="H65" s="174"/>
    </row>
    <row r="66" spans="1:8" x14ac:dyDescent="0.3">
      <c r="F66" s="173"/>
      <c r="G66" s="174"/>
      <c r="H66" s="174"/>
    </row>
    <row r="67" spans="1:8" ht="17.399999999999999" x14ac:dyDescent="0.3">
      <c r="A67" s="198" t="s">
        <v>69</v>
      </c>
      <c r="B67" s="198"/>
      <c r="C67" s="198"/>
      <c r="D67" s="198"/>
      <c r="E67" s="17"/>
      <c r="F67" s="183" t="s">
        <v>57</v>
      </c>
      <c r="G67" s="184"/>
      <c r="H67" s="185"/>
    </row>
    <row r="68" spans="1:8" x14ac:dyDescent="0.3">
      <c r="A68" s="21" t="s">
        <v>21</v>
      </c>
      <c r="B68" s="22" t="s">
        <v>22</v>
      </c>
      <c r="C68" s="22" t="s">
        <v>23</v>
      </c>
      <c r="D68" s="23" t="s">
        <v>25</v>
      </c>
      <c r="E68" s="24"/>
      <c r="F68" s="186"/>
      <c r="G68" s="187"/>
      <c r="H68" s="188"/>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78" t="s">
        <v>58</v>
      </c>
      <c r="B84" s="179"/>
      <c r="C84" s="179"/>
      <c r="D84" s="96">
        <f>SUM(Garbage_45[Amount])</f>
        <v>0</v>
      </c>
      <c r="E84" s="34"/>
      <c r="F84" s="173" t="s">
        <v>33</v>
      </c>
      <c r="G84" s="174"/>
      <c r="H84" s="174"/>
    </row>
    <row r="85" spans="1:8" x14ac:dyDescent="0.3">
      <c r="A85" s="38"/>
      <c r="B85" s="38"/>
      <c r="C85" s="38"/>
      <c r="D85" s="39"/>
      <c r="E85" s="40"/>
      <c r="F85" s="173"/>
      <c r="G85" s="174"/>
      <c r="H85" s="174"/>
    </row>
    <row r="86" spans="1:8" ht="17.399999999999999" x14ac:dyDescent="0.3">
      <c r="A86" s="191" t="s">
        <v>59</v>
      </c>
      <c r="B86" s="192"/>
      <c r="C86" s="192"/>
      <c r="D86" s="193"/>
      <c r="E86" s="17"/>
      <c r="F86" s="183" t="s">
        <v>60</v>
      </c>
      <c r="G86" s="184"/>
      <c r="H86" s="185"/>
    </row>
    <row r="87" spans="1:8" x14ac:dyDescent="0.3">
      <c r="A87" s="21" t="s">
        <v>21</v>
      </c>
      <c r="B87" s="22" t="s">
        <v>22</v>
      </c>
      <c r="C87" s="22" t="s">
        <v>23</v>
      </c>
      <c r="D87" s="23" t="s">
        <v>25</v>
      </c>
      <c r="E87" s="41"/>
      <c r="F87" s="186"/>
      <c r="G87" s="187"/>
      <c r="H87" s="188"/>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78" t="s">
        <v>61</v>
      </c>
      <c r="B103" s="179"/>
      <c r="C103" s="179"/>
      <c r="D103" s="96">
        <f>SUM(Boarding_45[Amount])</f>
        <v>0</v>
      </c>
      <c r="E103" s="34"/>
      <c r="F103" s="173" t="s">
        <v>33</v>
      </c>
      <c r="G103" s="174"/>
      <c r="H103" s="174"/>
    </row>
    <row r="104" spans="1:8" x14ac:dyDescent="0.3">
      <c r="A104" s="38"/>
      <c r="B104" s="38"/>
      <c r="C104" s="38"/>
      <c r="D104" s="39"/>
      <c r="E104" s="40"/>
      <c r="F104" s="173"/>
      <c r="G104" s="174"/>
      <c r="H104" s="174"/>
    </row>
    <row r="105" spans="1:8" ht="17.399999999999999" x14ac:dyDescent="0.3">
      <c r="A105" s="191" t="s">
        <v>70</v>
      </c>
      <c r="B105" s="192"/>
      <c r="C105" s="192"/>
      <c r="D105" s="193"/>
      <c r="E105" s="17"/>
      <c r="F105" s="183" t="s">
        <v>62</v>
      </c>
      <c r="G105" s="184"/>
      <c r="H105" s="185"/>
    </row>
    <row r="106" spans="1:8" x14ac:dyDescent="0.3">
      <c r="A106" s="21" t="s">
        <v>21</v>
      </c>
      <c r="B106" s="22" t="s">
        <v>22</v>
      </c>
      <c r="C106" s="22" t="s">
        <v>23</v>
      </c>
      <c r="D106" s="23" t="s">
        <v>25</v>
      </c>
      <c r="E106" s="41"/>
      <c r="F106" s="186"/>
      <c r="G106" s="187"/>
      <c r="H106" s="188"/>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78" t="s">
        <v>63</v>
      </c>
      <c r="B122" s="179"/>
      <c r="C122" s="179"/>
      <c r="D122" s="96">
        <f>SUM(Fence_45[Amount])</f>
        <v>0</v>
      </c>
      <c r="E122" s="34"/>
      <c r="F122" s="173" t="s">
        <v>33</v>
      </c>
      <c r="G122" s="174"/>
      <c r="H122" s="174"/>
    </row>
    <row r="123" spans="1:8" x14ac:dyDescent="0.3">
      <c r="F123" s="173"/>
      <c r="G123" s="174"/>
      <c r="H123" s="174"/>
    </row>
    <row r="124" spans="1:8" ht="17.399999999999999" x14ac:dyDescent="0.3">
      <c r="A124" s="191" t="s">
        <v>26</v>
      </c>
      <c r="B124" s="192"/>
      <c r="C124" s="192"/>
      <c r="D124" s="193"/>
      <c r="E124" s="17"/>
      <c r="F124" s="183" t="s">
        <v>11</v>
      </c>
      <c r="G124" s="184"/>
      <c r="H124" s="185"/>
    </row>
    <row r="125" spans="1:8" x14ac:dyDescent="0.3">
      <c r="A125" s="21" t="s">
        <v>21</v>
      </c>
      <c r="B125" s="22" t="s">
        <v>22</v>
      </c>
      <c r="C125" s="22" t="s">
        <v>23</v>
      </c>
      <c r="D125" s="23" t="s">
        <v>25</v>
      </c>
      <c r="E125" s="41"/>
      <c r="F125" s="186"/>
      <c r="G125" s="187"/>
      <c r="H125" s="188"/>
    </row>
    <row r="126" spans="1:8" x14ac:dyDescent="0.3">
      <c r="A126" s="100"/>
      <c r="B126" s="101"/>
      <c r="C126" s="101"/>
      <c r="D126" s="112">
        <v>25850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78" t="s">
        <v>27</v>
      </c>
      <c r="B141" s="179"/>
      <c r="C141" s="179"/>
      <c r="D141" s="96">
        <f>SUM(Demolition_45[Amount])</f>
        <v>25850</v>
      </c>
      <c r="E141" s="34"/>
      <c r="F141" s="173" t="s">
        <v>33</v>
      </c>
      <c r="G141" s="174"/>
      <c r="H141" s="174"/>
    </row>
    <row r="142" spans="1:8" x14ac:dyDescent="0.3">
      <c r="A142" s="38"/>
      <c r="B142" s="38"/>
      <c r="C142" s="38"/>
      <c r="D142" s="39"/>
      <c r="E142" s="40"/>
      <c r="F142" s="173"/>
      <c r="G142" s="174"/>
      <c r="H142" s="174"/>
    </row>
    <row r="143" spans="1:8" ht="17.399999999999999" x14ac:dyDescent="0.3">
      <c r="A143" s="191" t="s">
        <v>64</v>
      </c>
      <c r="B143" s="192"/>
      <c r="C143" s="192"/>
      <c r="D143" s="193"/>
      <c r="E143" s="17"/>
      <c r="F143" s="183" t="s">
        <v>44</v>
      </c>
      <c r="G143" s="184"/>
      <c r="H143" s="185"/>
    </row>
    <row r="144" spans="1:8" x14ac:dyDescent="0.3">
      <c r="A144" s="21" t="s">
        <v>21</v>
      </c>
      <c r="B144" s="22" t="s">
        <v>22</v>
      </c>
      <c r="C144" s="22" t="s">
        <v>23</v>
      </c>
      <c r="D144" s="23" t="s">
        <v>25</v>
      </c>
      <c r="E144" s="41"/>
      <c r="F144" s="186"/>
      <c r="G144" s="187"/>
      <c r="H144" s="188"/>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78" t="s">
        <v>65</v>
      </c>
      <c r="B160" s="179"/>
      <c r="C160" s="179"/>
      <c r="D160" s="96">
        <f>SUM(Rehab_45[Amount])</f>
        <v>0</v>
      </c>
      <c r="E160" s="34"/>
      <c r="F160" s="173" t="s">
        <v>33</v>
      </c>
      <c r="G160" s="174"/>
      <c r="H160" s="174"/>
    </row>
    <row r="161" spans="6:8" x14ac:dyDescent="0.3">
      <c r="F161" s="173"/>
      <c r="G161" s="174"/>
      <c r="H161" s="174"/>
    </row>
  </sheetData>
  <sheetProtection algorithmName="SHA-512" hashValue="NKCc8h3OvtK/v6AXvMujuSB7/RwxS+7bd5s2NY9CWIclSV4cO2Zqg0F3sOqZbBjddFXs+WEQtbbXYr4JAoi65g==" saltValue="72SvOspP1LCN10WeKJzf7Q=="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N161"/>
  <sheetViews>
    <sheetView showGridLines="0" zoomScaleNormal="100" workbookViewId="0">
      <pane ySplit="9" topLeftCell="A118"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5" t="s">
        <v>24</v>
      </c>
      <c r="B1" s="175"/>
      <c r="C1" s="175"/>
      <c r="D1" s="175"/>
      <c r="E1" s="1"/>
      <c r="F1" s="2"/>
      <c r="G1" s="2"/>
      <c r="H1" s="1"/>
    </row>
    <row r="2" spans="1:14" ht="24.9" customHeight="1" x14ac:dyDescent="0.3">
      <c r="A2" s="176" t="s">
        <v>71</v>
      </c>
      <c r="B2" s="176"/>
      <c r="C2" s="176"/>
      <c r="D2" s="176"/>
      <c r="E2" s="4"/>
      <c r="F2" s="120"/>
      <c r="G2" s="120"/>
      <c r="H2" s="5"/>
    </row>
    <row r="3" spans="1:14" ht="31.5" customHeight="1" x14ac:dyDescent="0.3">
      <c r="A3" s="176"/>
      <c r="B3" s="176"/>
      <c r="C3" s="176"/>
      <c r="D3" s="176"/>
      <c r="E3" s="4"/>
      <c r="F3" s="120"/>
      <c r="G3" s="120"/>
      <c r="H3" s="5"/>
    </row>
    <row r="4" spans="1:14" ht="15" customHeight="1" x14ac:dyDescent="0.25">
      <c r="A4" s="75" t="s">
        <v>19</v>
      </c>
      <c r="B4" s="194" t="str">
        <f>IF('Summary Sheet'!B78="","",'Summary Sheet'!B78)</f>
        <v>2042 W 68TH PL</v>
      </c>
      <c r="C4" s="194"/>
      <c r="D4" s="120"/>
      <c r="E4" s="4"/>
      <c r="F4" s="120"/>
      <c r="G4" s="120"/>
      <c r="H4" s="5"/>
    </row>
    <row r="5" spans="1:14" ht="15" customHeight="1" x14ac:dyDescent="0.25">
      <c r="A5" s="75" t="s">
        <v>20</v>
      </c>
      <c r="B5" s="195" t="str">
        <f>IF('Summary Sheet'!C78="","",'Summary Sheet'!C78)</f>
        <v/>
      </c>
      <c r="C5" s="195"/>
      <c r="D5" s="120"/>
      <c r="E5" s="4"/>
      <c r="F5" s="120"/>
      <c r="G5" s="120"/>
      <c r="H5" s="5"/>
    </row>
    <row r="6" spans="1:14" ht="15" customHeight="1" x14ac:dyDescent="0.25">
      <c r="A6" s="75" t="s">
        <v>36</v>
      </c>
      <c r="B6" s="177"/>
      <c r="C6" s="177"/>
      <c r="D6" s="6"/>
      <c r="E6" s="7"/>
    </row>
    <row r="7" spans="1:14" ht="15" customHeight="1" x14ac:dyDescent="0.25">
      <c r="A7" s="7"/>
      <c r="B7" s="196" t="s">
        <v>34</v>
      </c>
      <c r="C7" s="196"/>
      <c r="D7" s="10"/>
    </row>
    <row r="8" spans="1:14" ht="20.100000000000001" customHeight="1" x14ac:dyDescent="0.25">
      <c r="B8" s="11"/>
      <c r="C8" s="11"/>
      <c r="D8" s="12" t="s">
        <v>31</v>
      </c>
      <c r="F8" s="180" t="s">
        <v>32</v>
      </c>
      <c r="G8" s="181"/>
      <c r="H8" s="182"/>
    </row>
    <row r="9" spans="1:14" s="14" customFormat="1" ht="20.100000000000001" customHeight="1" x14ac:dyDescent="0.25">
      <c r="A9" s="197"/>
      <c r="B9" s="197"/>
      <c r="C9" s="197"/>
      <c r="D9" s="13">
        <f>SUM(D27,D46,D65,D84,D103,D122,D141,D160)</f>
        <v>20210</v>
      </c>
      <c r="F9" s="15" t="s">
        <v>28</v>
      </c>
      <c r="G9" s="15" t="s">
        <v>29</v>
      </c>
      <c r="H9" s="15" t="s">
        <v>30</v>
      </c>
      <c r="I9" s="16"/>
      <c r="J9" s="16"/>
      <c r="K9" s="16"/>
      <c r="L9" s="16"/>
      <c r="M9" s="16"/>
      <c r="N9" s="16"/>
    </row>
    <row r="10" spans="1:14" s="17" customFormat="1" ht="23.1" customHeight="1" x14ac:dyDescent="0.3">
      <c r="A10" s="198" t="s">
        <v>51</v>
      </c>
      <c r="B10" s="198"/>
      <c r="C10" s="198"/>
      <c r="D10" s="198"/>
      <c r="F10" s="183" t="s">
        <v>66</v>
      </c>
      <c r="G10" s="184"/>
      <c r="H10" s="185"/>
      <c r="I10" s="18"/>
      <c r="J10" s="18"/>
      <c r="K10" s="18"/>
      <c r="L10" s="18"/>
      <c r="M10" s="19"/>
      <c r="N10" s="20"/>
    </row>
    <row r="11" spans="1:14" s="24" customFormat="1" ht="12.75" customHeight="1" x14ac:dyDescent="0.25">
      <c r="A11" s="21" t="s">
        <v>21</v>
      </c>
      <c r="B11" s="22" t="s">
        <v>22</v>
      </c>
      <c r="C11" s="22" t="s">
        <v>23</v>
      </c>
      <c r="D11" s="23" t="s">
        <v>25</v>
      </c>
      <c r="F11" s="186"/>
      <c r="G11" s="187"/>
      <c r="H11" s="188"/>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78" t="s">
        <v>53</v>
      </c>
      <c r="B27" s="179"/>
      <c r="C27" s="179"/>
      <c r="D27" s="96">
        <f>SUM(Grass_46[Amount])</f>
        <v>0</v>
      </c>
      <c r="F27" s="173" t="s">
        <v>33</v>
      </c>
      <c r="G27" s="174"/>
      <c r="H27" s="174"/>
      <c r="I27" s="35"/>
      <c r="J27" s="35"/>
      <c r="K27" s="35"/>
      <c r="L27" s="35"/>
      <c r="M27" s="36"/>
      <c r="N27" s="37"/>
    </row>
    <row r="28" spans="1:14" s="40" customFormat="1" ht="11.1" customHeight="1" x14ac:dyDescent="0.3">
      <c r="A28" s="38"/>
      <c r="B28" s="38"/>
      <c r="C28" s="38"/>
      <c r="D28" s="39"/>
      <c r="F28" s="173"/>
      <c r="G28" s="174"/>
      <c r="H28" s="174"/>
      <c r="I28" s="35"/>
      <c r="J28" s="35"/>
      <c r="K28" s="35"/>
      <c r="L28" s="35"/>
      <c r="M28" s="36"/>
      <c r="N28" s="37"/>
    </row>
    <row r="29" spans="1:14" s="17" customFormat="1" ht="23.1" customHeight="1" x14ac:dyDescent="0.3">
      <c r="A29" s="191" t="s">
        <v>67</v>
      </c>
      <c r="B29" s="192"/>
      <c r="C29" s="192"/>
      <c r="D29" s="193"/>
      <c r="F29" s="183" t="s">
        <v>52</v>
      </c>
      <c r="G29" s="184"/>
      <c r="H29" s="185"/>
      <c r="I29" s="18"/>
      <c r="J29" s="18"/>
      <c r="K29" s="18"/>
      <c r="L29" s="18"/>
      <c r="M29" s="19"/>
      <c r="N29" s="20"/>
    </row>
    <row r="30" spans="1:14" s="41" customFormat="1" ht="12.75" customHeight="1" x14ac:dyDescent="0.25">
      <c r="A30" s="21" t="s">
        <v>21</v>
      </c>
      <c r="B30" s="22" t="s">
        <v>22</v>
      </c>
      <c r="C30" s="22" t="s">
        <v>23</v>
      </c>
      <c r="D30" s="23" t="s">
        <v>25</v>
      </c>
      <c r="F30" s="186"/>
      <c r="G30" s="187"/>
      <c r="H30" s="188"/>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19"/>
      <c r="J44" s="29"/>
      <c r="K44" s="29"/>
      <c r="L44" s="119"/>
      <c r="M44" s="30"/>
      <c r="N44" s="16"/>
    </row>
    <row r="45" spans="1:14" x14ac:dyDescent="0.3">
      <c r="A45" s="106"/>
      <c r="B45" s="107"/>
      <c r="C45" s="107"/>
      <c r="D45" s="114"/>
      <c r="F45" s="103"/>
      <c r="G45" s="104"/>
      <c r="H45" s="109"/>
      <c r="I45" s="119"/>
      <c r="J45" s="29"/>
      <c r="K45" s="29"/>
      <c r="L45" s="119"/>
      <c r="M45" s="30"/>
      <c r="N45" s="16"/>
    </row>
    <row r="46" spans="1:14" s="34" customFormat="1" x14ac:dyDescent="0.3">
      <c r="A46" s="178" t="s">
        <v>54</v>
      </c>
      <c r="B46" s="179"/>
      <c r="C46" s="179"/>
      <c r="D46" s="96">
        <f>SUM(Tree_46[Amount])</f>
        <v>0</v>
      </c>
      <c r="F46" s="173" t="s">
        <v>33</v>
      </c>
      <c r="G46" s="174"/>
      <c r="H46" s="174"/>
      <c r="I46" s="43"/>
      <c r="J46" s="43"/>
      <c r="K46" s="43"/>
      <c r="L46" s="43"/>
      <c r="M46" s="36"/>
      <c r="N46" s="37"/>
    </row>
    <row r="47" spans="1:14" s="40" customFormat="1" ht="11.1" customHeight="1" x14ac:dyDescent="0.3">
      <c r="A47" s="38"/>
      <c r="B47" s="38"/>
      <c r="C47" s="38"/>
      <c r="D47" s="39"/>
      <c r="F47" s="173"/>
      <c r="G47" s="174"/>
      <c r="H47" s="174"/>
      <c r="I47" s="43"/>
      <c r="J47" s="43"/>
      <c r="K47" s="43"/>
      <c r="L47" s="43"/>
      <c r="M47" s="36"/>
      <c r="N47" s="37"/>
    </row>
    <row r="48" spans="1:14" s="17" customFormat="1" ht="23.1" customHeight="1" x14ac:dyDescent="0.3">
      <c r="A48" s="191" t="s">
        <v>68</v>
      </c>
      <c r="B48" s="192"/>
      <c r="C48" s="192"/>
      <c r="D48" s="193"/>
      <c r="F48" s="183" t="s">
        <v>55</v>
      </c>
      <c r="G48" s="184"/>
      <c r="H48" s="185"/>
      <c r="I48" s="44"/>
      <c r="J48" s="44"/>
      <c r="K48" s="44"/>
      <c r="L48" s="44"/>
      <c r="M48" s="19"/>
      <c r="N48" s="20"/>
    </row>
    <row r="49" spans="1:14" s="41" customFormat="1" ht="12.75" customHeight="1" x14ac:dyDescent="0.25">
      <c r="A49" s="21" t="s">
        <v>21</v>
      </c>
      <c r="B49" s="22" t="s">
        <v>22</v>
      </c>
      <c r="C49" s="22" t="s">
        <v>23</v>
      </c>
      <c r="D49" s="23" t="s">
        <v>25</v>
      </c>
      <c r="F49" s="186"/>
      <c r="G49" s="187"/>
      <c r="H49" s="188"/>
      <c r="I49" s="119"/>
      <c r="J49" s="119"/>
      <c r="K49" s="119"/>
      <c r="L49" s="119"/>
      <c r="M49" s="30"/>
      <c r="N49" s="42"/>
    </row>
    <row r="50" spans="1:14" x14ac:dyDescent="0.3">
      <c r="A50" s="100"/>
      <c r="B50" s="101"/>
      <c r="C50" s="101"/>
      <c r="D50" s="112"/>
      <c r="F50" s="103"/>
      <c r="G50" s="104"/>
      <c r="H50" s="109"/>
      <c r="I50" s="119"/>
      <c r="J50" s="119"/>
      <c r="K50" s="119"/>
      <c r="L50" s="119"/>
      <c r="M50" s="30"/>
      <c r="N50" s="16"/>
    </row>
    <row r="51" spans="1:14" x14ac:dyDescent="0.3">
      <c r="A51" s="106"/>
      <c r="B51" s="107"/>
      <c r="C51" s="107"/>
      <c r="D51" s="113"/>
      <c r="F51" s="103"/>
      <c r="G51" s="104"/>
      <c r="H51" s="109"/>
      <c r="I51" s="119"/>
      <c r="J51" s="119"/>
      <c r="K51" s="119"/>
      <c r="L51" s="119"/>
      <c r="M51" s="30"/>
      <c r="N51" s="16"/>
    </row>
    <row r="52" spans="1:14" x14ac:dyDescent="0.3">
      <c r="A52" s="106"/>
      <c r="B52" s="107"/>
      <c r="C52" s="107"/>
      <c r="D52" s="114"/>
      <c r="F52" s="103"/>
      <c r="H52" s="109"/>
      <c r="I52" s="119"/>
      <c r="J52" s="119"/>
      <c r="K52" s="119"/>
      <c r="L52" s="119"/>
      <c r="M52" s="30"/>
      <c r="N52" s="16"/>
    </row>
    <row r="53" spans="1:14" x14ac:dyDescent="0.3">
      <c r="A53" s="106"/>
      <c r="B53" s="107"/>
      <c r="C53" s="107"/>
      <c r="D53" s="113"/>
      <c r="F53" s="103"/>
      <c r="G53" s="104"/>
      <c r="H53" s="109"/>
      <c r="I53" s="119"/>
      <c r="J53" s="119"/>
      <c r="K53" s="119"/>
      <c r="L53" s="119"/>
      <c r="M53" s="30"/>
      <c r="N53" s="16"/>
    </row>
    <row r="54" spans="1:14" x14ac:dyDescent="0.3">
      <c r="A54" s="106"/>
      <c r="B54" s="107"/>
      <c r="C54" s="107"/>
      <c r="D54" s="114"/>
      <c r="F54" s="103"/>
      <c r="G54" s="104"/>
      <c r="H54" s="109"/>
      <c r="I54" s="119"/>
      <c r="J54" s="119"/>
      <c r="K54" s="119"/>
      <c r="L54" s="119"/>
      <c r="M54" s="30"/>
      <c r="N54" s="16"/>
    </row>
    <row r="55" spans="1:14" x14ac:dyDescent="0.3">
      <c r="A55" s="106"/>
      <c r="B55" s="107"/>
      <c r="C55" s="107"/>
      <c r="D55" s="113"/>
      <c r="F55" s="103"/>
      <c r="G55" s="104"/>
      <c r="H55" s="109"/>
      <c r="I55" s="119"/>
      <c r="J55" s="119"/>
      <c r="K55" s="119"/>
      <c r="L55" s="119"/>
      <c r="M55" s="30"/>
      <c r="N55" s="16"/>
    </row>
    <row r="56" spans="1:14" x14ac:dyDescent="0.3">
      <c r="A56" s="106"/>
      <c r="B56" s="107"/>
      <c r="C56" s="107"/>
      <c r="D56" s="114"/>
      <c r="F56" s="103"/>
      <c r="G56" s="104"/>
      <c r="H56" s="109"/>
      <c r="I56" s="119"/>
      <c r="J56" s="119"/>
      <c r="K56" s="119"/>
      <c r="L56" s="119"/>
      <c r="M56" s="30"/>
      <c r="N56" s="16"/>
    </row>
    <row r="57" spans="1:14" x14ac:dyDescent="0.3">
      <c r="A57" s="106"/>
      <c r="B57" s="107"/>
      <c r="C57" s="107"/>
      <c r="D57" s="113"/>
      <c r="F57" s="103"/>
      <c r="G57" s="104"/>
      <c r="H57" s="109"/>
      <c r="I57" s="119"/>
      <c r="J57" s="119"/>
      <c r="K57" s="119"/>
      <c r="L57" s="119"/>
      <c r="M57" s="30"/>
      <c r="N57" s="16"/>
    </row>
    <row r="58" spans="1:14" x14ac:dyDescent="0.3">
      <c r="A58" s="106"/>
      <c r="B58" s="107"/>
      <c r="C58" s="107"/>
      <c r="D58" s="114"/>
      <c r="F58" s="103"/>
      <c r="G58" s="104"/>
      <c r="H58" s="109"/>
      <c r="I58" s="119"/>
      <c r="J58" s="119"/>
      <c r="K58" s="119"/>
      <c r="L58" s="119"/>
      <c r="M58" s="30"/>
      <c r="N58" s="16"/>
    </row>
    <row r="59" spans="1:14" x14ac:dyDescent="0.3">
      <c r="A59" s="106"/>
      <c r="B59" s="107"/>
      <c r="C59" s="107"/>
      <c r="D59" s="113"/>
      <c r="F59" s="103"/>
      <c r="G59" s="104"/>
      <c r="H59" s="109"/>
      <c r="I59" s="119"/>
      <c r="J59" s="190"/>
      <c r="K59" s="190"/>
      <c r="L59" s="119"/>
      <c r="M59" s="30"/>
      <c r="N59" s="16"/>
    </row>
    <row r="60" spans="1:14" x14ac:dyDescent="0.3">
      <c r="A60" s="106"/>
      <c r="B60" s="107"/>
      <c r="C60" s="107"/>
      <c r="D60" s="114"/>
      <c r="F60" s="103"/>
      <c r="G60" s="104"/>
      <c r="H60" s="109"/>
      <c r="I60" s="189"/>
      <c r="J60" s="189"/>
      <c r="K60" s="189"/>
      <c r="L60" s="189"/>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78" t="s">
        <v>56</v>
      </c>
      <c r="B65" s="179"/>
      <c r="C65" s="179"/>
      <c r="D65" s="96">
        <f>SUM(Pest_46[Amount])</f>
        <v>0</v>
      </c>
      <c r="F65" s="173" t="s">
        <v>33</v>
      </c>
      <c r="G65" s="174"/>
      <c r="H65" s="174"/>
    </row>
    <row r="66" spans="1:8" x14ac:dyDescent="0.3">
      <c r="F66" s="173"/>
      <c r="G66" s="174"/>
      <c r="H66" s="174"/>
    </row>
    <row r="67" spans="1:8" ht="17.399999999999999" x14ac:dyDescent="0.3">
      <c r="A67" s="198" t="s">
        <v>69</v>
      </c>
      <c r="B67" s="198"/>
      <c r="C67" s="198"/>
      <c r="D67" s="198"/>
      <c r="E67" s="17"/>
      <c r="F67" s="183" t="s">
        <v>57</v>
      </c>
      <c r="G67" s="184"/>
      <c r="H67" s="185"/>
    </row>
    <row r="68" spans="1:8" x14ac:dyDescent="0.3">
      <c r="A68" s="21" t="s">
        <v>21</v>
      </c>
      <c r="B68" s="22" t="s">
        <v>22</v>
      </c>
      <c r="C68" s="22" t="s">
        <v>23</v>
      </c>
      <c r="D68" s="23" t="s">
        <v>25</v>
      </c>
      <c r="E68" s="24"/>
      <c r="F68" s="186"/>
      <c r="G68" s="187"/>
      <c r="H68" s="188"/>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78" t="s">
        <v>58</v>
      </c>
      <c r="B84" s="179"/>
      <c r="C84" s="179"/>
      <c r="D84" s="96">
        <f>SUM(Garbage_46[Amount])</f>
        <v>0</v>
      </c>
      <c r="E84" s="34"/>
      <c r="F84" s="173" t="s">
        <v>33</v>
      </c>
      <c r="G84" s="174"/>
      <c r="H84" s="174"/>
    </row>
    <row r="85" spans="1:8" x14ac:dyDescent="0.3">
      <c r="A85" s="38"/>
      <c r="B85" s="38"/>
      <c r="C85" s="38"/>
      <c r="D85" s="39"/>
      <c r="E85" s="40"/>
      <c r="F85" s="173"/>
      <c r="G85" s="174"/>
      <c r="H85" s="174"/>
    </row>
    <row r="86" spans="1:8" ht="17.399999999999999" x14ac:dyDescent="0.3">
      <c r="A86" s="191" t="s">
        <v>59</v>
      </c>
      <c r="B86" s="192"/>
      <c r="C86" s="192"/>
      <c r="D86" s="193"/>
      <c r="E86" s="17"/>
      <c r="F86" s="183" t="s">
        <v>60</v>
      </c>
      <c r="G86" s="184"/>
      <c r="H86" s="185"/>
    </row>
    <row r="87" spans="1:8" x14ac:dyDescent="0.3">
      <c r="A87" s="21" t="s">
        <v>21</v>
      </c>
      <c r="B87" s="22" t="s">
        <v>22</v>
      </c>
      <c r="C87" s="22" t="s">
        <v>23</v>
      </c>
      <c r="D87" s="23" t="s">
        <v>25</v>
      </c>
      <c r="E87" s="41"/>
      <c r="F87" s="186"/>
      <c r="G87" s="187"/>
      <c r="H87" s="188"/>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78" t="s">
        <v>61</v>
      </c>
      <c r="B103" s="179"/>
      <c r="C103" s="179"/>
      <c r="D103" s="96">
        <f>SUM(Boarding_46[Amount])</f>
        <v>0</v>
      </c>
      <c r="E103" s="34"/>
      <c r="F103" s="173" t="s">
        <v>33</v>
      </c>
      <c r="G103" s="174"/>
      <c r="H103" s="174"/>
    </row>
    <row r="104" spans="1:8" x14ac:dyDescent="0.3">
      <c r="A104" s="38"/>
      <c r="B104" s="38"/>
      <c r="C104" s="38"/>
      <c r="D104" s="39"/>
      <c r="E104" s="40"/>
      <c r="F104" s="173"/>
      <c r="G104" s="174"/>
      <c r="H104" s="174"/>
    </row>
    <row r="105" spans="1:8" ht="17.399999999999999" x14ac:dyDescent="0.3">
      <c r="A105" s="191" t="s">
        <v>70</v>
      </c>
      <c r="B105" s="192"/>
      <c r="C105" s="192"/>
      <c r="D105" s="193"/>
      <c r="E105" s="17"/>
      <c r="F105" s="183" t="s">
        <v>62</v>
      </c>
      <c r="G105" s="184"/>
      <c r="H105" s="185"/>
    </row>
    <row r="106" spans="1:8" x14ac:dyDescent="0.3">
      <c r="A106" s="21" t="s">
        <v>21</v>
      </c>
      <c r="B106" s="22" t="s">
        <v>22</v>
      </c>
      <c r="C106" s="22" t="s">
        <v>23</v>
      </c>
      <c r="D106" s="23" t="s">
        <v>25</v>
      </c>
      <c r="E106" s="41"/>
      <c r="F106" s="186"/>
      <c r="G106" s="187"/>
      <c r="H106" s="188"/>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78" t="s">
        <v>63</v>
      </c>
      <c r="B122" s="179"/>
      <c r="C122" s="179"/>
      <c r="D122" s="96">
        <f>SUM(Fence_46[Amount])</f>
        <v>0</v>
      </c>
      <c r="E122" s="34"/>
      <c r="F122" s="173" t="s">
        <v>33</v>
      </c>
      <c r="G122" s="174"/>
      <c r="H122" s="174"/>
    </row>
    <row r="123" spans="1:8" x14ac:dyDescent="0.3">
      <c r="F123" s="173"/>
      <c r="G123" s="174"/>
      <c r="H123" s="174"/>
    </row>
    <row r="124" spans="1:8" ht="17.399999999999999" x14ac:dyDescent="0.3">
      <c r="A124" s="191" t="s">
        <v>26</v>
      </c>
      <c r="B124" s="192"/>
      <c r="C124" s="192"/>
      <c r="D124" s="193"/>
      <c r="E124" s="17"/>
      <c r="F124" s="183" t="s">
        <v>11</v>
      </c>
      <c r="G124" s="184"/>
      <c r="H124" s="185"/>
    </row>
    <row r="125" spans="1:8" x14ac:dyDescent="0.3">
      <c r="A125" s="21" t="s">
        <v>21</v>
      </c>
      <c r="B125" s="22" t="s">
        <v>22</v>
      </c>
      <c r="C125" s="22" t="s">
        <v>23</v>
      </c>
      <c r="D125" s="23" t="s">
        <v>25</v>
      </c>
      <c r="E125" s="41"/>
      <c r="F125" s="186"/>
      <c r="G125" s="187"/>
      <c r="H125" s="188"/>
    </row>
    <row r="126" spans="1:8" x14ac:dyDescent="0.3">
      <c r="A126" s="100"/>
      <c r="B126" s="101"/>
      <c r="C126" s="101"/>
      <c r="D126" s="112">
        <v>20210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78" t="s">
        <v>27</v>
      </c>
      <c r="B141" s="179"/>
      <c r="C141" s="179"/>
      <c r="D141" s="96">
        <f>SUM(Demolition_46[Amount])</f>
        <v>20210</v>
      </c>
      <c r="E141" s="34"/>
      <c r="F141" s="173" t="s">
        <v>33</v>
      </c>
      <c r="G141" s="174"/>
      <c r="H141" s="174"/>
    </row>
    <row r="142" spans="1:8" x14ac:dyDescent="0.3">
      <c r="A142" s="38"/>
      <c r="B142" s="38"/>
      <c r="C142" s="38"/>
      <c r="D142" s="39"/>
      <c r="E142" s="40"/>
      <c r="F142" s="173"/>
      <c r="G142" s="174"/>
      <c r="H142" s="174"/>
    </row>
    <row r="143" spans="1:8" ht="17.399999999999999" x14ac:dyDescent="0.3">
      <c r="A143" s="191" t="s">
        <v>64</v>
      </c>
      <c r="B143" s="192"/>
      <c r="C143" s="192"/>
      <c r="D143" s="193"/>
      <c r="E143" s="17"/>
      <c r="F143" s="183" t="s">
        <v>44</v>
      </c>
      <c r="G143" s="184"/>
      <c r="H143" s="185"/>
    </row>
    <row r="144" spans="1:8" x14ac:dyDescent="0.3">
      <c r="A144" s="21" t="s">
        <v>21</v>
      </c>
      <c r="B144" s="22" t="s">
        <v>22</v>
      </c>
      <c r="C144" s="22" t="s">
        <v>23</v>
      </c>
      <c r="D144" s="23" t="s">
        <v>25</v>
      </c>
      <c r="E144" s="41"/>
      <c r="F144" s="186"/>
      <c r="G144" s="187"/>
      <c r="H144" s="188"/>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78" t="s">
        <v>65</v>
      </c>
      <c r="B160" s="179"/>
      <c r="C160" s="179"/>
      <c r="D160" s="96">
        <f>SUM(Rehab_46[Amount])</f>
        <v>0</v>
      </c>
      <c r="E160" s="34"/>
      <c r="F160" s="173" t="s">
        <v>33</v>
      </c>
      <c r="G160" s="174"/>
      <c r="H160" s="174"/>
    </row>
    <row r="161" spans="6:8" x14ac:dyDescent="0.3">
      <c r="F161" s="173"/>
      <c r="G161" s="174"/>
      <c r="H161" s="174"/>
    </row>
  </sheetData>
  <sheetProtection algorithmName="SHA-512" hashValue="9BrjIDXOUyBz4Km8SHfElEQjJzPrmHaZ5gCYLpGnK+Su7r5gS3E0si2GN5aKlGiYsmrU2AXidqdbNWYCCYFXRQ==" saltValue="LR5F2WzXBb/n//rW+xDPtg=="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N161"/>
  <sheetViews>
    <sheetView showGridLines="0" zoomScaleNormal="100" workbookViewId="0">
      <pane ySplit="9" topLeftCell="A110"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5" t="s">
        <v>24</v>
      </c>
      <c r="B1" s="175"/>
      <c r="C1" s="175"/>
      <c r="D1" s="175"/>
      <c r="E1" s="1"/>
      <c r="F1" s="2"/>
      <c r="G1" s="2"/>
      <c r="H1" s="1"/>
    </row>
    <row r="2" spans="1:14" ht="24.9" customHeight="1" x14ac:dyDescent="0.3">
      <c r="A2" s="176" t="s">
        <v>71</v>
      </c>
      <c r="B2" s="176"/>
      <c r="C2" s="176"/>
      <c r="D2" s="176"/>
      <c r="E2" s="4"/>
      <c r="F2" s="120"/>
      <c r="G2" s="120"/>
      <c r="H2" s="5"/>
    </row>
    <row r="3" spans="1:14" ht="31.5" customHeight="1" x14ac:dyDescent="0.3">
      <c r="A3" s="176"/>
      <c r="B3" s="176"/>
      <c r="C3" s="176"/>
      <c r="D3" s="176"/>
      <c r="E3" s="4"/>
      <c r="F3" s="120"/>
      <c r="G3" s="120"/>
      <c r="H3" s="5"/>
    </row>
    <row r="4" spans="1:14" ht="15" customHeight="1" x14ac:dyDescent="0.25">
      <c r="A4" s="75" t="s">
        <v>19</v>
      </c>
      <c r="B4" s="194" t="str">
        <f>IF('Summary Sheet'!B79="","",'Summary Sheet'!B79)</f>
        <v>2045 W MARQUETTE RD</v>
      </c>
      <c r="C4" s="194"/>
      <c r="D4" s="120"/>
      <c r="E4" s="4"/>
      <c r="F4" s="120"/>
      <c r="G4" s="120"/>
      <c r="H4" s="5"/>
    </row>
    <row r="5" spans="1:14" ht="15" customHeight="1" x14ac:dyDescent="0.25">
      <c r="A5" s="75" t="s">
        <v>20</v>
      </c>
      <c r="B5" s="195" t="str">
        <f>IF('Summary Sheet'!C79="","",'Summary Sheet'!C79)</f>
        <v/>
      </c>
      <c r="C5" s="195"/>
      <c r="D5" s="120"/>
      <c r="E5" s="4"/>
      <c r="F5" s="120"/>
      <c r="G5" s="120"/>
      <c r="H5" s="5"/>
    </row>
    <row r="6" spans="1:14" ht="15" customHeight="1" x14ac:dyDescent="0.25">
      <c r="A6" s="75" t="s">
        <v>36</v>
      </c>
      <c r="B6" s="177"/>
      <c r="C6" s="177"/>
      <c r="D6" s="6"/>
      <c r="E6" s="7"/>
    </row>
    <row r="7" spans="1:14" ht="15" customHeight="1" x14ac:dyDescent="0.25">
      <c r="A7" s="7"/>
      <c r="B7" s="196" t="s">
        <v>34</v>
      </c>
      <c r="C7" s="196"/>
      <c r="D7" s="10"/>
    </row>
    <row r="8" spans="1:14" ht="20.100000000000001" customHeight="1" x14ac:dyDescent="0.25">
      <c r="B8" s="11"/>
      <c r="C8" s="11"/>
      <c r="D8" s="12" t="s">
        <v>31</v>
      </c>
      <c r="F8" s="180" t="s">
        <v>32</v>
      </c>
      <c r="G8" s="181"/>
      <c r="H8" s="182"/>
    </row>
    <row r="9" spans="1:14" s="14" customFormat="1" ht="20.100000000000001" customHeight="1" x14ac:dyDescent="0.25">
      <c r="A9" s="197"/>
      <c r="B9" s="197"/>
      <c r="C9" s="197"/>
      <c r="D9" s="13">
        <f>SUM(D27,D46,D65,D84,D103,D122,D141,D160)</f>
        <v>34510</v>
      </c>
      <c r="F9" s="15" t="s">
        <v>28</v>
      </c>
      <c r="G9" s="15" t="s">
        <v>29</v>
      </c>
      <c r="H9" s="15" t="s">
        <v>30</v>
      </c>
      <c r="I9" s="16"/>
      <c r="J9" s="16"/>
      <c r="K9" s="16"/>
      <c r="L9" s="16"/>
      <c r="M9" s="16"/>
      <c r="N9" s="16"/>
    </row>
    <row r="10" spans="1:14" s="17" customFormat="1" ht="23.1" customHeight="1" x14ac:dyDescent="0.3">
      <c r="A10" s="198" t="s">
        <v>51</v>
      </c>
      <c r="B10" s="198"/>
      <c r="C10" s="198"/>
      <c r="D10" s="198"/>
      <c r="F10" s="183" t="s">
        <v>66</v>
      </c>
      <c r="G10" s="184"/>
      <c r="H10" s="185"/>
      <c r="I10" s="18"/>
      <c r="J10" s="18"/>
      <c r="K10" s="18"/>
      <c r="L10" s="18"/>
      <c r="M10" s="19"/>
      <c r="N10" s="20"/>
    </row>
    <row r="11" spans="1:14" s="24" customFormat="1" ht="12.75" customHeight="1" x14ac:dyDescent="0.25">
      <c r="A11" s="21" t="s">
        <v>21</v>
      </c>
      <c r="B11" s="22" t="s">
        <v>22</v>
      </c>
      <c r="C11" s="22" t="s">
        <v>23</v>
      </c>
      <c r="D11" s="23" t="s">
        <v>25</v>
      </c>
      <c r="F11" s="186"/>
      <c r="G11" s="187"/>
      <c r="H11" s="188"/>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78" t="s">
        <v>53</v>
      </c>
      <c r="B27" s="179"/>
      <c r="C27" s="179"/>
      <c r="D27" s="96">
        <f>SUM(Grass_47[Amount])</f>
        <v>0</v>
      </c>
      <c r="F27" s="173" t="s">
        <v>33</v>
      </c>
      <c r="G27" s="174"/>
      <c r="H27" s="174"/>
      <c r="I27" s="35"/>
      <c r="J27" s="35"/>
      <c r="K27" s="35"/>
      <c r="L27" s="35"/>
      <c r="M27" s="36"/>
      <c r="N27" s="37"/>
    </row>
    <row r="28" spans="1:14" s="40" customFormat="1" ht="11.1" customHeight="1" x14ac:dyDescent="0.3">
      <c r="A28" s="38"/>
      <c r="B28" s="38"/>
      <c r="C28" s="38"/>
      <c r="D28" s="39"/>
      <c r="F28" s="173"/>
      <c r="G28" s="174"/>
      <c r="H28" s="174"/>
      <c r="I28" s="35"/>
      <c r="J28" s="35"/>
      <c r="K28" s="35"/>
      <c r="L28" s="35"/>
      <c r="M28" s="36"/>
      <c r="N28" s="37"/>
    </row>
    <row r="29" spans="1:14" s="17" customFormat="1" ht="23.1" customHeight="1" x14ac:dyDescent="0.3">
      <c r="A29" s="191" t="s">
        <v>67</v>
      </c>
      <c r="B29" s="192"/>
      <c r="C29" s="192"/>
      <c r="D29" s="193"/>
      <c r="F29" s="183" t="s">
        <v>52</v>
      </c>
      <c r="G29" s="184"/>
      <c r="H29" s="185"/>
      <c r="I29" s="18"/>
      <c r="J29" s="18"/>
      <c r="K29" s="18"/>
      <c r="L29" s="18"/>
      <c r="M29" s="19"/>
      <c r="N29" s="20"/>
    </row>
    <row r="30" spans="1:14" s="41" customFormat="1" ht="12.75" customHeight="1" x14ac:dyDescent="0.25">
      <c r="A30" s="21" t="s">
        <v>21</v>
      </c>
      <c r="B30" s="22" t="s">
        <v>22</v>
      </c>
      <c r="C30" s="22" t="s">
        <v>23</v>
      </c>
      <c r="D30" s="23" t="s">
        <v>25</v>
      </c>
      <c r="F30" s="186"/>
      <c r="G30" s="187"/>
      <c r="H30" s="188"/>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19"/>
      <c r="J44" s="29"/>
      <c r="K44" s="29"/>
      <c r="L44" s="119"/>
      <c r="M44" s="30"/>
      <c r="N44" s="16"/>
    </row>
    <row r="45" spans="1:14" x14ac:dyDescent="0.3">
      <c r="A45" s="106"/>
      <c r="B45" s="107"/>
      <c r="C45" s="107"/>
      <c r="D45" s="114"/>
      <c r="F45" s="103"/>
      <c r="G45" s="104"/>
      <c r="H45" s="109"/>
      <c r="I45" s="119"/>
      <c r="J45" s="29"/>
      <c r="K45" s="29"/>
      <c r="L45" s="119"/>
      <c r="M45" s="30"/>
      <c r="N45" s="16"/>
    </row>
    <row r="46" spans="1:14" s="34" customFormat="1" x14ac:dyDescent="0.3">
      <c r="A46" s="178" t="s">
        <v>54</v>
      </c>
      <c r="B46" s="179"/>
      <c r="C46" s="179"/>
      <c r="D46" s="96">
        <f>SUM(Tree_47[Amount])</f>
        <v>0</v>
      </c>
      <c r="F46" s="173" t="s">
        <v>33</v>
      </c>
      <c r="G46" s="174"/>
      <c r="H46" s="174"/>
      <c r="I46" s="43"/>
      <c r="J46" s="43"/>
      <c r="K46" s="43"/>
      <c r="L46" s="43"/>
      <c r="M46" s="36"/>
      <c r="N46" s="37"/>
    </row>
    <row r="47" spans="1:14" s="40" customFormat="1" ht="11.1" customHeight="1" x14ac:dyDescent="0.3">
      <c r="A47" s="38"/>
      <c r="B47" s="38"/>
      <c r="C47" s="38"/>
      <c r="D47" s="39"/>
      <c r="F47" s="173"/>
      <c r="G47" s="174"/>
      <c r="H47" s="174"/>
      <c r="I47" s="43"/>
      <c r="J47" s="43"/>
      <c r="K47" s="43"/>
      <c r="L47" s="43"/>
      <c r="M47" s="36"/>
      <c r="N47" s="37"/>
    </row>
    <row r="48" spans="1:14" s="17" customFormat="1" ht="23.1" customHeight="1" x14ac:dyDescent="0.3">
      <c r="A48" s="191" t="s">
        <v>68</v>
      </c>
      <c r="B48" s="192"/>
      <c r="C48" s="192"/>
      <c r="D48" s="193"/>
      <c r="F48" s="183" t="s">
        <v>55</v>
      </c>
      <c r="G48" s="184"/>
      <c r="H48" s="185"/>
      <c r="I48" s="44"/>
      <c r="J48" s="44"/>
      <c r="K48" s="44"/>
      <c r="L48" s="44"/>
      <c r="M48" s="19"/>
      <c r="N48" s="20"/>
    </row>
    <row r="49" spans="1:14" s="41" customFormat="1" ht="12.75" customHeight="1" x14ac:dyDescent="0.25">
      <c r="A49" s="21" t="s">
        <v>21</v>
      </c>
      <c r="B49" s="22" t="s">
        <v>22</v>
      </c>
      <c r="C49" s="22" t="s">
        <v>23</v>
      </c>
      <c r="D49" s="23" t="s">
        <v>25</v>
      </c>
      <c r="F49" s="186"/>
      <c r="G49" s="187"/>
      <c r="H49" s="188"/>
      <c r="I49" s="119"/>
      <c r="J49" s="119"/>
      <c r="K49" s="119"/>
      <c r="L49" s="119"/>
      <c r="M49" s="30"/>
      <c r="N49" s="42"/>
    </row>
    <row r="50" spans="1:14" x14ac:dyDescent="0.3">
      <c r="A50" s="100"/>
      <c r="B50" s="101"/>
      <c r="C50" s="101"/>
      <c r="D50" s="112"/>
      <c r="F50" s="103"/>
      <c r="G50" s="104"/>
      <c r="H50" s="109"/>
      <c r="I50" s="119"/>
      <c r="J50" s="119"/>
      <c r="K50" s="119"/>
      <c r="L50" s="119"/>
      <c r="M50" s="30"/>
      <c r="N50" s="16"/>
    </row>
    <row r="51" spans="1:14" x14ac:dyDescent="0.3">
      <c r="A51" s="106"/>
      <c r="B51" s="107"/>
      <c r="C51" s="107"/>
      <c r="D51" s="113"/>
      <c r="F51" s="103"/>
      <c r="G51" s="104"/>
      <c r="H51" s="109"/>
      <c r="I51" s="119"/>
      <c r="J51" s="119"/>
      <c r="K51" s="119"/>
      <c r="L51" s="119"/>
      <c r="M51" s="30"/>
      <c r="N51" s="16"/>
    </row>
    <row r="52" spans="1:14" x14ac:dyDescent="0.3">
      <c r="A52" s="106"/>
      <c r="B52" s="107"/>
      <c r="C52" s="107"/>
      <c r="D52" s="114"/>
      <c r="F52" s="103"/>
      <c r="H52" s="109"/>
      <c r="I52" s="119"/>
      <c r="J52" s="119"/>
      <c r="K52" s="119"/>
      <c r="L52" s="119"/>
      <c r="M52" s="30"/>
      <c r="N52" s="16"/>
    </row>
    <row r="53" spans="1:14" x14ac:dyDescent="0.3">
      <c r="A53" s="106"/>
      <c r="B53" s="107"/>
      <c r="C53" s="107"/>
      <c r="D53" s="113"/>
      <c r="F53" s="103"/>
      <c r="G53" s="104"/>
      <c r="H53" s="109"/>
      <c r="I53" s="119"/>
      <c r="J53" s="119"/>
      <c r="K53" s="119"/>
      <c r="L53" s="119"/>
      <c r="M53" s="30"/>
      <c r="N53" s="16"/>
    </row>
    <row r="54" spans="1:14" x14ac:dyDescent="0.3">
      <c r="A54" s="106"/>
      <c r="B54" s="107"/>
      <c r="C54" s="107"/>
      <c r="D54" s="114"/>
      <c r="F54" s="103"/>
      <c r="G54" s="104"/>
      <c r="H54" s="109"/>
      <c r="I54" s="119"/>
      <c r="J54" s="119"/>
      <c r="K54" s="119"/>
      <c r="L54" s="119"/>
      <c r="M54" s="30"/>
      <c r="N54" s="16"/>
    </row>
    <row r="55" spans="1:14" x14ac:dyDescent="0.3">
      <c r="A55" s="106"/>
      <c r="B55" s="107"/>
      <c r="C55" s="107"/>
      <c r="D55" s="113"/>
      <c r="F55" s="103"/>
      <c r="G55" s="104"/>
      <c r="H55" s="109"/>
      <c r="I55" s="119"/>
      <c r="J55" s="119"/>
      <c r="K55" s="119"/>
      <c r="L55" s="119"/>
      <c r="M55" s="30"/>
      <c r="N55" s="16"/>
    </row>
    <row r="56" spans="1:14" x14ac:dyDescent="0.3">
      <c r="A56" s="106"/>
      <c r="B56" s="107"/>
      <c r="C56" s="107"/>
      <c r="D56" s="114"/>
      <c r="F56" s="103"/>
      <c r="G56" s="104"/>
      <c r="H56" s="109"/>
      <c r="I56" s="119"/>
      <c r="J56" s="119"/>
      <c r="K56" s="119"/>
      <c r="L56" s="119"/>
      <c r="M56" s="30"/>
      <c r="N56" s="16"/>
    </row>
    <row r="57" spans="1:14" x14ac:dyDescent="0.3">
      <c r="A57" s="106"/>
      <c r="B57" s="107"/>
      <c r="C57" s="107"/>
      <c r="D57" s="113"/>
      <c r="F57" s="103"/>
      <c r="G57" s="104"/>
      <c r="H57" s="109"/>
      <c r="I57" s="119"/>
      <c r="J57" s="119"/>
      <c r="K57" s="119"/>
      <c r="L57" s="119"/>
      <c r="M57" s="30"/>
      <c r="N57" s="16"/>
    </row>
    <row r="58" spans="1:14" x14ac:dyDescent="0.3">
      <c r="A58" s="106"/>
      <c r="B58" s="107"/>
      <c r="C58" s="107"/>
      <c r="D58" s="114"/>
      <c r="F58" s="103"/>
      <c r="G58" s="104"/>
      <c r="H58" s="109"/>
      <c r="I58" s="119"/>
      <c r="J58" s="119"/>
      <c r="K58" s="119"/>
      <c r="L58" s="119"/>
      <c r="M58" s="30"/>
      <c r="N58" s="16"/>
    </row>
    <row r="59" spans="1:14" x14ac:dyDescent="0.3">
      <c r="A59" s="106"/>
      <c r="B59" s="107"/>
      <c r="C59" s="107"/>
      <c r="D59" s="113"/>
      <c r="F59" s="103"/>
      <c r="G59" s="104"/>
      <c r="H59" s="109"/>
      <c r="I59" s="119"/>
      <c r="J59" s="190"/>
      <c r="K59" s="190"/>
      <c r="L59" s="119"/>
      <c r="M59" s="30"/>
      <c r="N59" s="16"/>
    </row>
    <row r="60" spans="1:14" x14ac:dyDescent="0.3">
      <c r="A60" s="106"/>
      <c r="B60" s="107"/>
      <c r="C60" s="107"/>
      <c r="D60" s="114"/>
      <c r="F60" s="103"/>
      <c r="G60" s="104"/>
      <c r="H60" s="109"/>
      <c r="I60" s="189"/>
      <c r="J60" s="189"/>
      <c r="K60" s="189"/>
      <c r="L60" s="189"/>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78" t="s">
        <v>56</v>
      </c>
      <c r="B65" s="179"/>
      <c r="C65" s="179"/>
      <c r="D65" s="96">
        <f>SUM(Pest_47[Amount])</f>
        <v>0</v>
      </c>
      <c r="F65" s="173" t="s">
        <v>33</v>
      </c>
      <c r="G65" s="174"/>
      <c r="H65" s="174"/>
    </row>
    <row r="66" spans="1:8" x14ac:dyDescent="0.3">
      <c r="F66" s="173"/>
      <c r="G66" s="174"/>
      <c r="H66" s="174"/>
    </row>
    <row r="67" spans="1:8" ht="17.399999999999999" x14ac:dyDescent="0.3">
      <c r="A67" s="198" t="s">
        <v>69</v>
      </c>
      <c r="B67" s="198"/>
      <c r="C67" s="198"/>
      <c r="D67" s="198"/>
      <c r="E67" s="17"/>
      <c r="F67" s="183" t="s">
        <v>57</v>
      </c>
      <c r="G67" s="184"/>
      <c r="H67" s="185"/>
    </row>
    <row r="68" spans="1:8" x14ac:dyDescent="0.3">
      <c r="A68" s="21" t="s">
        <v>21</v>
      </c>
      <c r="B68" s="22" t="s">
        <v>22</v>
      </c>
      <c r="C68" s="22" t="s">
        <v>23</v>
      </c>
      <c r="D68" s="23" t="s">
        <v>25</v>
      </c>
      <c r="E68" s="24"/>
      <c r="F68" s="186"/>
      <c r="G68" s="187"/>
      <c r="H68" s="188"/>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78" t="s">
        <v>58</v>
      </c>
      <c r="B84" s="179"/>
      <c r="C84" s="179"/>
      <c r="D84" s="96">
        <f>SUM(Garbage_47[Amount])</f>
        <v>0</v>
      </c>
      <c r="E84" s="34"/>
      <c r="F84" s="173" t="s">
        <v>33</v>
      </c>
      <c r="G84" s="174"/>
      <c r="H84" s="174"/>
    </row>
    <row r="85" spans="1:8" x14ac:dyDescent="0.3">
      <c r="A85" s="38"/>
      <c r="B85" s="38"/>
      <c r="C85" s="38"/>
      <c r="D85" s="39"/>
      <c r="E85" s="40"/>
      <c r="F85" s="173"/>
      <c r="G85" s="174"/>
      <c r="H85" s="174"/>
    </row>
    <row r="86" spans="1:8" ht="17.399999999999999" x14ac:dyDescent="0.3">
      <c r="A86" s="191" t="s">
        <v>59</v>
      </c>
      <c r="B86" s="192"/>
      <c r="C86" s="192"/>
      <c r="D86" s="193"/>
      <c r="E86" s="17"/>
      <c r="F86" s="183" t="s">
        <v>60</v>
      </c>
      <c r="G86" s="184"/>
      <c r="H86" s="185"/>
    </row>
    <row r="87" spans="1:8" x14ac:dyDescent="0.3">
      <c r="A87" s="21" t="s">
        <v>21</v>
      </c>
      <c r="B87" s="22" t="s">
        <v>22</v>
      </c>
      <c r="C87" s="22" t="s">
        <v>23</v>
      </c>
      <c r="D87" s="23" t="s">
        <v>25</v>
      </c>
      <c r="E87" s="41"/>
      <c r="F87" s="186"/>
      <c r="G87" s="187"/>
      <c r="H87" s="188"/>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78" t="s">
        <v>61</v>
      </c>
      <c r="B103" s="179"/>
      <c r="C103" s="179"/>
      <c r="D103" s="96">
        <f>SUM(Boarding_47[Amount])</f>
        <v>0</v>
      </c>
      <c r="E103" s="34"/>
      <c r="F103" s="173" t="s">
        <v>33</v>
      </c>
      <c r="G103" s="174"/>
      <c r="H103" s="174"/>
    </row>
    <row r="104" spans="1:8" x14ac:dyDescent="0.3">
      <c r="A104" s="38"/>
      <c r="B104" s="38"/>
      <c r="C104" s="38"/>
      <c r="D104" s="39"/>
      <c r="E104" s="40"/>
      <c r="F104" s="173"/>
      <c r="G104" s="174"/>
      <c r="H104" s="174"/>
    </row>
    <row r="105" spans="1:8" ht="17.399999999999999" x14ac:dyDescent="0.3">
      <c r="A105" s="191" t="s">
        <v>70</v>
      </c>
      <c r="B105" s="192"/>
      <c r="C105" s="192"/>
      <c r="D105" s="193"/>
      <c r="E105" s="17"/>
      <c r="F105" s="183" t="s">
        <v>62</v>
      </c>
      <c r="G105" s="184"/>
      <c r="H105" s="185"/>
    </row>
    <row r="106" spans="1:8" x14ac:dyDescent="0.3">
      <c r="A106" s="21" t="s">
        <v>21</v>
      </c>
      <c r="B106" s="22" t="s">
        <v>22</v>
      </c>
      <c r="C106" s="22" t="s">
        <v>23</v>
      </c>
      <c r="D106" s="23" t="s">
        <v>25</v>
      </c>
      <c r="E106" s="41"/>
      <c r="F106" s="186"/>
      <c r="G106" s="187"/>
      <c r="H106" s="188"/>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78" t="s">
        <v>63</v>
      </c>
      <c r="B122" s="179"/>
      <c r="C122" s="179"/>
      <c r="D122" s="96">
        <f>SUM(Fence_47[Amount])</f>
        <v>0</v>
      </c>
      <c r="E122" s="34"/>
      <c r="F122" s="173" t="s">
        <v>33</v>
      </c>
      <c r="G122" s="174"/>
      <c r="H122" s="174"/>
    </row>
    <row r="123" spans="1:8" x14ac:dyDescent="0.3">
      <c r="F123" s="173"/>
      <c r="G123" s="174"/>
      <c r="H123" s="174"/>
    </row>
    <row r="124" spans="1:8" ht="17.399999999999999" x14ac:dyDescent="0.3">
      <c r="A124" s="191" t="s">
        <v>26</v>
      </c>
      <c r="B124" s="192"/>
      <c r="C124" s="192"/>
      <c r="D124" s="193"/>
      <c r="E124" s="17"/>
      <c r="F124" s="183" t="s">
        <v>11</v>
      </c>
      <c r="G124" s="184"/>
      <c r="H124" s="185"/>
    </row>
    <row r="125" spans="1:8" x14ac:dyDescent="0.3">
      <c r="A125" s="21" t="s">
        <v>21</v>
      </c>
      <c r="B125" s="22" t="s">
        <v>22</v>
      </c>
      <c r="C125" s="22" t="s">
        <v>23</v>
      </c>
      <c r="D125" s="23" t="s">
        <v>25</v>
      </c>
      <c r="E125" s="41"/>
      <c r="F125" s="186"/>
      <c r="G125" s="187"/>
      <c r="H125" s="188"/>
    </row>
    <row r="126" spans="1:8" x14ac:dyDescent="0.3">
      <c r="A126" s="100"/>
      <c r="B126" s="101"/>
      <c r="C126" s="101"/>
      <c r="D126" s="112">
        <v>34510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78" t="s">
        <v>27</v>
      </c>
      <c r="B141" s="179"/>
      <c r="C141" s="179"/>
      <c r="D141" s="96">
        <f>SUM(Demolition_47[Amount])</f>
        <v>34510</v>
      </c>
      <c r="E141" s="34"/>
      <c r="F141" s="173" t="s">
        <v>33</v>
      </c>
      <c r="G141" s="174"/>
      <c r="H141" s="174"/>
    </row>
    <row r="142" spans="1:8" x14ac:dyDescent="0.3">
      <c r="A142" s="38"/>
      <c r="B142" s="38"/>
      <c r="C142" s="38"/>
      <c r="D142" s="39"/>
      <c r="E142" s="40"/>
      <c r="F142" s="173"/>
      <c r="G142" s="174"/>
      <c r="H142" s="174"/>
    </row>
    <row r="143" spans="1:8" ht="17.399999999999999" x14ac:dyDescent="0.3">
      <c r="A143" s="191" t="s">
        <v>64</v>
      </c>
      <c r="B143" s="192"/>
      <c r="C143" s="192"/>
      <c r="D143" s="193"/>
      <c r="E143" s="17"/>
      <c r="F143" s="183" t="s">
        <v>44</v>
      </c>
      <c r="G143" s="184"/>
      <c r="H143" s="185"/>
    </row>
    <row r="144" spans="1:8" x14ac:dyDescent="0.3">
      <c r="A144" s="21" t="s">
        <v>21</v>
      </c>
      <c r="B144" s="22" t="s">
        <v>22</v>
      </c>
      <c r="C144" s="22" t="s">
        <v>23</v>
      </c>
      <c r="D144" s="23" t="s">
        <v>25</v>
      </c>
      <c r="E144" s="41"/>
      <c r="F144" s="186"/>
      <c r="G144" s="187"/>
      <c r="H144" s="188"/>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78" t="s">
        <v>65</v>
      </c>
      <c r="B160" s="179"/>
      <c r="C160" s="179"/>
      <c r="D160" s="96">
        <f>SUM(Rehab_47[Amount])</f>
        <v>0</v>
      </c>
      <c r="E160" s="34"/>
      <c r="F160" s="173" t="s">
        <v>33</v>
      </c>
      <c r="G160" s="174"/>
      <c r="H160" s="174"/>
    </row>
    <row r="161" spans="6:8" x14ac:dyDescent="0.3">
      <c r="F161" s="173"/>
      <c r="G161" s="174"/>
      <c r="H161" s="174"/>
    </row>
  </sheetData>
  <sheetProtection algorithmName="SHA-512" hashValue="dWgYTNtEo22wRZb5lUar+YLpOB9VS9AZxPMrQlQV0EzK/WHXuRGMpOT702DHcpm5yMnnYMM4lnZA2q4OY8xCTA==" saltValue="SdQCgEtbKLqcmU4pNo/nXg=="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N161"/>
  <sheetViews>
    <sheetView showGridLines="0" zoomScaleNormal="100" workbookViewId="0">
      <pane ySplit="9" topLeftCell="A121"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5" t="s">
        <v>24</v>
      </c>
      <c r="B1" s="175"/>
      <c r="C1" s="175"/>
      <c r="D1" s="175"/>
      <c r="E1" s="1"/>
      <c r="F1" s="2"/>
      <c r="G1" s="2"/>
      <c r="H1" s="1"/>
    </row>
    <row r="2" spans="1:14" ht="24.9" customHeight="1" x14ac:dyDescent="0.3">
      <c r="A2" s="176" t="s">
        <v>71</v>
      </c>
      <c r="B2" s="176"/>
      <c r="C2" s="176"/>
      <c r="D2" s="176"/>
      <c r="E2" s="4"/>
      <c r="F2" s="120"/>
      <c r="G2" s="120"/>
      <c r="H2" s="5"/>
    </row>
    <row r="3" spans="1:14" ht="31.5" customHeight="1" x14ac:dyDescent="0.3">
      <c r="A3" s="176"/>
      <c r="B3" s="176"/>
      <c r="C3" s="176"/>
      <c r="D3" s="176"/>
      <c r="E3" s="4"/>
      <c r="F3" s="120"/>
      <c r="G3" s="120"/>
      <c r="H3" s="5"/>
    </row>
    <row r="4" spans="1:14" ht="15" customHeight="1" x14ac:dyDescent="0.25">
      <c r="A4" s="75" t="s">
        <v>19</v>
      </c>
      <c r="B4" s="194" t="str">
        <f>IF('Summary Sheet'!B80="","",'Summary Sheet'!B80)</f>
        <v>2050 W 68TH PL</v>
      </c>
      <c r="C4" s="194"/>
      <c r="D4" s="120"/>
      <c r="E4" s="4"/>
      <c r="F4" s="120"/>
      <c r="G4" s="120"/>
      <c r="H4" s="5"/>
    </row>
    <row r="5" spans="1:14" ht="15" customHeight="1" x14ac:dyDescent="0.25">
      <c r="A5" s="75" t="s">
        <v>20</v>
      </c>
      <c r="B5" s="195" t="str">
        <f>IF('Summary Sheet'!C80="","",'Summary Sheet'!C80)</f>
        <v/>
      </c>
      <c r="C5" s="195"/>
      <c r="D5" s="120"/>
      <c r="E5" s="4"/>
      <c r="F5" s="120"/>
      <c r="G5" s="120"/>
      <c r="H5" s="5"/>
    </row>
    <row r="6" spans="1:14" ht="15" customHeight="1" x14ac:dyDescent="0.25">
      <c r="A6" s="75" t="s">
        <v>36</v>
      </c>
      <c r="B6" s="177"/>
      <c r="C6" s="177"/>
      <c r="D6" s="6"/>
      <c r="E6" s="7"/>
    </row>
    <row r="7" spans="1:14" ht="15" customHeight="1" x14ac:dyDescent="0.25">
      <c r="A7" s="7"/>
      <c r="B7" s="196" t="s">
        <v>34</v>
      </c>
      <c r="C7" s="196"/>
      <c r="D7" s="10"/>
    </row>
    <row r="8" spans="1:14" ht="20.100000000000001" customHeight="1" x14ac:dyDescent="0.25">
      <c r="B8" s="11"/>
      <c r="C8" s="11"/>
      <c r="D8" s="12" t="s">
        <v>31</v>
      </c>
      <c r="F8" s="180" t="s">
        <v>32</v>
      </c>
      <c r="G8" s="181"/>
      <c r="H8" s="182"/>
    </row>
    <row r="9" spans="1:14" s="14" customFormat="1" ht="20.100000000000001" customHeight="1" x14ac:dyDescent="0.25">
      <c r="A9" s="197"/>
      <c r="B9" s="197"/>
      <c r="C9" s="197"/>
      <c r="D9" s="13">
        <f>SUM(D27,D46,D65,D84,D103,D122,D141,D160)</f>
        <v>20210</v>
      </c>
      <c r="F9" s="15" t="s">
        <v>28</v>
      </c>
      <c r="G9" s="15" t="s">
        <v>29</v>
      </c>
      <c r="H9" s="15" t="s">
        <v>30</v>
      </c>
      <c r="I9" s="16"/>
      <c r="J9" s="16"/>
      <c r="K9" s="16"/>
      <c r="L9" s="16"/>
      <c r="M9" s="16"/>
      <c r="N9" s="16"/>
    </row>
    <row r="10" spans="1:14" s="17" customFormat="1" ht="23.1" customHeight="1" x14ac:dyDescent="0.3">
      <c r="A10" s="198" t="s">
        <v>51</v>
      </c>
      <c r="B10" s="198"/>
      <c r="C10" s="198"/>
      <c r="D10" s="198"/>
      <c r="F10" s="183" t="s">
        <v>66</v>
      </c>
      <c r="G10" s="184"/>
      <c r="H10" s="185"/>
      <c r="I10" s="18"/>
      <c r="J10" s="18"/>
      <c r="K10" s="18"/>
      <c r="L10" s="18"/>
      <c r="M10" s="19"/>
      <c r="N10" s="20"/>
    </row>
    <row r="11" spans="1:14" s="24" customFormat="1" ht="12.75" customHeight="1" x14ac:dyDescent="0.25">
      <c r="A11" s="21" t="s">
        <v>21</v>
      </c>
      <c r="B11" s="22" t="s">
        <v>22</v>
      </c>
      <c r="C11" s="22" t="s">
        <v>23</v>
      </c>
      <c r="D11" s="23" t="s">
        <v>25</v>
      </c>
      <c r="F11" s="186"/>
      <c r="G11" s="187"/>
      <c r="H11" s="188"/>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78" t="s">
        <v>53</v>
      </c>
      <c r="B27" s="179"/>
      <c r="C27" s="179"/>
      <c r="D27" s="96">
        <f>SUM(Grass_48[Amount])</f>
        <v>0</v>
      </c>
      <c r="F27" s="173" t="s">
        <v>33</v>
      </c>
      <c r="G27" s="174"/>
      <c r="H27" s="174"/>
      <c r="I27" s="35"/>
      <c r="J27" s="35"/>
      <c r="K27" s="35"/>
      <c r="L27" s="35"/>
      <c r="M27" s="36"/>
      <c r="N27" s="37"/>
    </row>
    <row r="28" spans="1:14" s="40" customFormat="1" ht="11.1" customHeight="1" x14ac:dyDescent="0.3">
      <c r="A28" s="38"/>
      <c r="B28" s="38"/>
      <c r="C28" s="38"/>
      <c r="D28" s="39"/>
      <c r="F28" s="173"/>
      <c r="G28" s="174"/>
      <c r="H28" s="174"/>
      <c r="I28" s="35"/>
      <c r="J28" s="35"/>
      <c r="K28" s="35"/>
      <c r="L28" s="35"/>
      <c r="M28" s="36"/>
      <c r="N28" s="37"/>
    </row>
    <row r="29" spans="1:14" s="17" customFormat="1" ht="23.1" customHeight="1" x14ac:dyDescent="0.3">
      <c r="A29" s="191" t="s">
        <v>67</v>
      </c>
      <c r="B29" s="192"/>
      <c r="C29" s="192"/>
      <c r="D29" s="193"/>
      <c r="F29" s="183" t="s">
        <v>52</v>
      </c>
      <c r="G29" s="184"/>
      <c r="H29" s="185"/>
      <c r="I29" s="18"/>
      <c r="J29" s="18"/>
      <c r="K29" s="18"/>
      <c r="L29" s="18"/>
      <c r="M29" s="19"/>
      <c r="N29" s="20"/>
    </row>
    <row r="30" spans="1:14" s="41" customFormat="1" ht="12.75" customHeight="1" x14ac:dyDescent="0.25">
      <c r="A30" s="21" t="s">
        <v>21</v>
      </c>
      <c r="B30" s="22" t="s">
        <v>22</v>
      </c>
      <c r="C30" s="22" t="s">
        <v>23</v>
      </c>
      <c r="D30" s="23" t="s">
        <v>25</v>
      </c>
      <c r="F30" s="186"/>
      <c r="G30" s="187"/>
      <c r="H30" s="188"/>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19"/>
      <c r="J44" s="29"/>
      <c r="K44" s="29"/>
      <c r="L44" s="119"/>
      <c r="M44" s="30"/>
      <c r="N44" s="16"/>
    </row>
    <row r="45" spans="1:14" x14ac:dyDescent="0.3">
      <c r="A45" s="106"/>
      <c r="B45" s="107"/>
      <c r="C45" s="107"/>
      <c r="D45" s="114"/>
      <c r="F45" s="103"/>
      <c r="G45" s="104"/>
      <c r="H45" s="109"/>
      <c r="I45" s="119"/>
      <c r="J45" s="29"/>
      <c r="K45" s="29"/>
      <c r="L45" s="119"/>
      <c r="M45" s="30"/>
      <c r="N45" s="16"/>
    </row>
    <row r="46" spans="1:14" s="34" customFormat="1" x14ac:dyDescent="0.3">
      <c r="A46" s="178" t="s">
        <v>54</v>
      </c>
      <c r="B46" s="179"/>
      <c r="C46" s="179"/>
      <c r="D46" s="96">
        <f>SUM(Tree_48[Amount])</f>
        <v>0</v>
      </c>
      <c r="F46" s="173" t="s">
        <v>33</v>
      </c>
      <c r="G46" s="174"/>
      <c r="H46" s="174"/>
      <c r="I46" s="43"/>
      <c r="J46" s="43"/>
      <c r="K46" s="43"/>
      <c r="L46" s="43"/>
      <c r="M46" s="36"/>
      <c r="N46" s="37"/>
    </row>
    <row r="47" spans="1:14" s="40" customFormat="1" ht="11.1" customHeight="1" x14ac:dyDescent="0.3">
      <c r="A47" s="38"/>
      <c r="B47" s="38"/>
      <c r="C47" s="38"/>
      <c r="D47" s="39"/>
      <c r="F47" s="173"/>
      <c r="G47" s="174"/>
      <c r="H47" s="174"/>
      <c r="I47" s="43"/>
      <c r="J47" s="43"/>
      <c r="K47" s="43"/>
      <c r="L47" s="43"/>
      <c r="M47" s="36"/>
      <c r="N47" s="37"/>
    </row>
    <row r="48" spans="1:14" s="17" customFormat="1" ht="23.1" customHeight="1" x14ac:dyDescent="0.3">
      <c r="A48" s="191" t="s">
        <v>68</v>
      </c>
      <c r="B48" s="192"/>
      <c r="C48" s="192"/>
      <c r="D48" s="193"/>
      <c r="F48" s="183" t="s">
        <v>55</v>
      </c>
      <c r="G48" s="184"/>
      <c r="H48" s="185"/>
      <c r="I48" s="44"/>
      <c r="J48" s="44"/>
      <c r="K48" s="44"/>
      <c r="L48" s="44"/>
      <c r="M48" s="19"/>
      <c r="N48" s="20"/>
    </row>
    <row r="49" spans="1:14" s="41" customFormat="1" ht="12.75" customHeight="1" x14ac:dyDescent="0.25">
      <c r="A49" s="21" t="s">
        <v>21</v>
      </c>
      <c r="B49" s="22" t="s">
        <v>22</v>
      </c>
      <c r="C49" s="22" t="s">
        <v>23</v>
      </c>
      <c r="D49" s="23" t="s">
        <v>25</v>
      </c>
      <c r="F49" s="186"/>
      <c r="G49" s="187"/>
      <c r="H49" s="188"/>
      <c r="I49" s="119"/>
      <c r="J49" s="119"/>
      <c r="K49" s="119"/>
      <c r="L49" s="119"/>
      <c r="M49" s="30"/>
      <c r="N49" s="42"/>
    </row>
    <row r="50" spans="1:14" x14ac:dyDescent="0.3">
      <c r="A50" s="100"/>
      <c r="B50" s="101"/>
      <c r="C50" s="101"/>
      <c r="D50" s="112"/>
      <c r="F50" s="103"/>
      <c r="G50" s="104"/>
      <c r="H50" s="109"/>
      <c r="I50" s="119"/>
      <c r="J50" s="119"/>
      <c r="K50" s="119"/>
      <c r="L50" s="119"/>
      <c r="M50" s="30"/>
      <c r="N50" s="16"/>
    </row>
    <row r="51" spans="1:14" x14ac:dyDescent="0.3">
      <c r="A51" s="106"/>
      <c r="B51" s="107"/>
      <c r="C51" s="107"/>
      <c r="D51" s="113"/>
      <c r="F51" s="103"/>
      <c r="G51" s="104"/>
      <c r="H51" s="109"/>
      <c r="I51" s="119"/>
      <c r="J51" s="119"/>
      <c r="K51" s="119"/>
      <c r="L51" s="119"/>
      <c r="M51" s="30"/>
      <c r="N51" s="16"/>
    </row>
    <row r="52" spans="1:14" x14ac:dyDescent="0.3">
      <c r="A52" s="106"/>
      <c r="B52" s="107"/>
      <c r="C52" s="107"/>
      <c r="D52" s="114"/>
      <c r="F52" s="103"/>
      <c r="H52" s="109"/>
      <c r="I52" s="119"/>
      <c r="J52" s="119"/>
      <c r="K52" s="119"/>
      <c r="L52" s="119"/>
      <c r="M52" s="30"/>
      <c r="N52" s="16"/>
    </row>
    <row r="53" spans="1:14" x14ac:dyDescent="0.3">
      <c r="A53" s="106"/>
      <c r="B53" s="107"/>
      <c r="C53" s="107"/>
      <c r="D53" s="113"/>
      <c r="F53" s="103"/>
      <c r="G53" s="104"/>
      <c r="H53" s="109"/>
      <c r="I53" s="119"/>
      <c r="J53" s="119"/>
      <c r="K53" s="119"/>
      <c r="L53" s="119"/>
      <c r="M53" s="30"/>
      <c r="N53" s="16"/>
    </row>
    <row r="54" spans="1:14" x14ac:dyDescent="0.3">
      <c r="A54" s="106"/>
      <c r="B54" s="107"/>
      <c r="C54" s="107"/>
      <c r="D54" s="114"/>
      <c r="F54" s="103"/>
      <c r="G54" s="104"/>
      <c r="H54" s="109"/>
      <c r="I54" s="119"/>
      <c r="J54" s="119"/>
      <c r="K54" s="119"/>
      <c r="L54" s="119"/>
      <c r="M54" s="30"/>
      <c r="N54" s="16"/>
    </row>
    <row r="55" spans="1:14" x14ac:dyDescent="0.3">
      <c r="A55" s="106"/>
      <c r="B55" s="107"/>
      <c r="C55" s="107"/>
      <c r="D55" s="113"/>
      <c r="F55" s="103"/>
      <c r="G55" s="104"/>
      <c r="H55" s="109"/>
      <c r="I55" s="119"/>
      <c r="J55" s="119"/>
      <c r="K55" s="119"/>
      <c r="L55" s="119"/>
      <c r="M55" s="30"/>
      <c r="N55" s="16"/>
    </row>
    <row r="56" spans="1:14" x14ac:dyDescent="0.3">
      <c r="A56" s="106"/>
      <c r="B56" s="107"/>
      <c r="C56" s="107"/>
      <c r="D56" s="114"/>
      <c r="F56" s="103"/>
      <c r="G56" s="104"/>
      <c r="H56" s="109"/>
      <c r="I56" s="119"/>
      <c r="J56" s="119"/>
      <c r="K56" s="119"/>
      <c r="L56" s="119"/>
      <c r="M56" s="30"/>
      <c r="N56" s="16"/>
    </row>
    <row r="57" spans="1:14" x14ac:dyDescent="0.3">
      <c r="A57" s="106"/>
      <c r="B57" s="107"/>
      <c r="C57" s="107"/>
      <c r="D57" s="113"/>
      <c r="F57" s="103"/>
      <c r="G57" s="104"/>
      <c r="H57" s="109"/>
      <c r="I57" s="119"/>
      <c r="J57" s="119"/>
      <c r="K57" s="119"/>
      <c r="L57" s="119"/>
      <c r="M57" s="30"/>
      <c r="N57" s="16"/>
    </row>
    <row r="58" spans="1:14" x14ac:dyDescent="0.3">
      <c r="A58" s="106"/>
      <c r="B58" s="107"/>
      <c r="C58" s="107"/>
      <c r="D58" s="114"/>
      <c r="F58" s="103"/>
      <c r="G58" s="104"/>
      <c r="H58" s="109"/>
      <c r="I58" s="119"/>
      <c r="J58" s="119"/>
      <c r="K58" s="119"/>
      <c r="L58" s="119"/>
      <c r="M58" s="30"/>
      <c r="N58" s="16"/>
    </row>
    <row r="59" spans="1:14" x14ac:dyDescent="0.3">
      <c r="A59" s="106"/>
      <c r="B59" s="107"/>
      <c r="C59" s="107"/>
      <c r="D59" s="113"/>
      <c r="F59" s="103"/>
      <c r="G59" s="104"/>
      <c r="H59" s="109"/>
      <c r="I59" s="119"/>
      <c r="J59" s="190"/>
      <c r="K59" s="190"/>
      <c r="L59" s="119"/>
      <c r="M59" s="30"/>
      <c r="N59" s="16"/>
    </row>
    <row r="60" spans="1:14" x14ac:dyDescent="0.3">
      <c r="A60" s="106"/>
      <c r="B60" s="107"/>
      <c r="C60" s="107"/>
      <c r="D60" s="114"/>
      <c r="F60" s="103"/>
      <c r="G60" s="104"/>
      <c r="H60" s="109"/>
      <c r="I60" s="189"/>
      <c r="J60" s="189"/>
      <c r="K60" s="189"/>
      <c r="L60" s="189"/>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78" t="s">
        <v>56</v>
      </c>
      <c r="B65" s="179"/>
      <c r="C65" s="179"/>
      <c r="D65" s="96">
        <f>SUM(Pest_48[Amount])</f>
        <v>0</v>
      </c>
      <c r="F65" s="173" t="s">
        <v>33</v>
      </c>
      <c r="G65" s="174"/>
      <c r="H65" s="174"/>
    </row>
    <row r="66" spans="1:8" x14ac:dyDescent="0.3">
      <c r="F66" s="173"/>
      <c r="G66" s="174"/>
      <c r="H66" s="174"/>
    </row>
    <row r="67" spans="1:8" ht="17.399999999999999" x14ac:dyDescent="0.3">
      <c r="A67" s="198" t="s">
        <v>69</v>
      </c>
      <c r="B67" s="198"/>
      <c r="C67" s="198"/>
      <c r="D67" s="198"/>
      <c r="E67" s="17"/>
      <c r="F67" s="183" t="s">
        <v>57</v>
      </c>
      <c r="G67" s="184"/>
      <c r="H67" s="185"/>
    </row>
    <row r="68" spans="1:8" x14ac:dyDescent="0.3">
      <c r="A68" s="21" t="s">
        <v>21</v>
      </c>
      <c r="B68" s="22" t="s">
        <v>22</v>
      </c>
      <c r="C68" s="22" t="s">
        <v>23</v>
      </c>
      <c r="D68" s="23" t="s">
        <v>25</v>
      </c>
      <c r="E68" s="24"/>
      <c r="F68" s="186"/>
      <c r="G68" s="187"/>
      <c r="H68" s="188"/>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78" t="s">
        <v>58</v>
      </c>
      <c r="B84" s="179"/>
      <c r="C84" s="179"/>
      <c r="D84" s="96">
        <f>SUM(Garbage_48[Amount])</f>
        <v>0</v>
      </c>
      <c r="E84" s="34"/>
      <c r="F84" s="173" t="s">
        <v>33</v>
      </c>
      <c r="G84" s="174"/>
      <c r="H84" s="174"/>
    </row>
    <row r="85" spans="1:8" x14ac:dyDescent="0.3">
      <c r="A85" s="38"/>
      <c r="B85" s="38"/>
      <c r="C85" s="38"/>
      <c r="D85" s="39"/>
      <c r="E85" s="40"/>
      <c r="F85" s="173"/>
      <c r="G85" s="174"/>
      <c r="H85" s="174"/>
    </row>
    <row r="86" spans="1:8" ht="17.399999999999999" x14ac:dyDescent="0.3">
      <c r="A86" s="191" t="s">
        <v>59</v>
      </c>
      <c r="B86" s="192"/>
      <c r="C86" s="192"/>
      <c r="D86" s="193"/>
      <c r="E86" s="17"/>
      <c r="F86" s="183" t="s">
        <v>60</v>
      </c>
      <c r="G86" s="184"/>
      <c r="H86" s="185"/>
    </row>
    <row r="87" spans="1:8" x14ac:dyDescent="0.3">
      <c r="A87" s="21" t="s">
        <v>21</v>
      </c>
      <c r="B87" s="22" t="s">
        <v>22</v>
      </c>
      <c r="C87" s="22" t="s">
        <v>23</v>
      </c>
      <c r="D87" s="23" t="s">
        <v>25</v>
      </c>
      <c r="E87" s="41"/>
      <c r="F87" s="186"/>
      <c r="G87" s="187"/>
      <c r="H87" s="188"/>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78" t="s">
        <v>61</v>
      </c>
      <c r="B103" s="179"/>
      <c r="C103" s="179"/>
      <c r="D103" s="96">
        <f>SUM(Boarding_48[Amount])</f>
        <v>0</v>
      </c>
      <c r="E103" s="34"/>
      <c r="F103" s="173" t="s">
        <v>33</v>
      </c>
      <c r="G103" s="174"/>
      <c r="H103" s="174"/>
    </row>
    <row r="104" spans="1:8" x14ac:dyDescent="0.3">
      <c r="A104" s="38"/>
      <c r="B104" s="38"/>
      <c r="C104" s="38"/>
      <c r="D104" s="39"/>
      <c r="E104" s="40"/>
      <c r="F104" s="173"/>
      <c r="G104" s="174"/>
      <c r="H104" s="174"/>
    </row>
    <row r="105" spans="1:8" ht="17.399999999999999" x14ac:dyDescent="0.3">
      <c r="A105" s="191" t="s">
        <v>70</v>
      </c>
      <c r="B105" s="192"/>
      <c r="C105" s="192"/>
      <c r="D105" s="193"/>
      <c r="E105" s="17"/>
      <c r="F105" s="183" t="s">
        <v>62</v>
      </c>
      <c r="G105" s="184"/>
      <c r="H105" s="185"/>
    </row>
    <row r="106" spans="1:8" x14ac:dyDescent="0.3">
      <c r="A106" s="21" t="s">
        <v>21</v>
      </c>
      <c r="B106" s="22" t="s">
        <v>22</v>
      </c>
      <c r="C106" s="22" t="s">
        <v>23</v>
      </c>
      <c r="D106" s="23" t="s">
        <v>25</v>
      </c>
      <c r="E106" s="41"/>
      <c r="F106" s="186"/>
      <c r="G106" s="187"/>
      <c r="H106" s="188"/>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78" t="s">
        <v>63</v>
      </c>
      <c r="B122" s="179"/>
      <c r="C122" s="179"/>
      <c r="D122" s="96">
        <f>SUM(Fence_48[Amount])</f>
        <v>0</v>
      </c>
      <c r="E122" s="34"/>
      <c r="F122" s="173" t="s">
        <v>33</v>
      </c>
      <c r="G122" s="174"/>
      <c r="H122" s="174"/>
    </row>
    <row r="123" spans="1:8" x14ac:dyDescent="0.3">
      <c r="F123" s="173"/>
      <c r="G123" s="174"/>
      <c r="H123" s="174"/>
    </row>
    <row r="124" spans="1:8" ht="17.399999999999999" x14ac:dyDescent="0.3">
      <c r="A124" s="191" t="s">
        <v>26</v>
      </c>
      <c r="B124" s="192"/>
      <c r="C124" s="192"/>
      <c r="D124" s="193"/>
      <c r="E124" s="17"/>
      <c r="F124" s="183" t="s">
        <v>11</v>
      </c>
      <c r="G124" s="184"/>
      <c r="H124" s="185"/>
    </row>
    <row r="125" spans="1:8" x14ac:dyDescent="0.3">
      <c r="A125" s="21" t="s">
        <v>21</v>
      </c>
      <c r="B125" s="22" t="s">
        <v>22</v>
      </c>
      <c r="C125" s="22" t="s">
        <v>23</v>
      </c>
      <c r="D125" s="23" t="s">
        <v>25</v>
      </c>
      <c r="E125" s="41"/>
      <c r="F125" s="186"/>
      <c r="G125" s="187"/>
      <c r="H125" s="188"/>
    </row>
    <row r="126" spans="1:8" x14ac:dyDescent="0.3">
      <c r="A126" s="100"/>
      <c r="B126" s="101"/>
      <c r="C126" s="101"/>
      <c r="D126" s="112">
        <v>20210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78" t="s">
        <v>27</v>
      </c>
      <c r="B141" s="179"/>
      <c r="C141" s="179"/>
      <c r="D141" s="96">
        <f>SUM(Demolition_48[Amount])</f>
        <v>20210</v>
      </c>
      <c r="E141" s="34"/>
      <c r="F141" s="173" t="s">
        <v>33</v>
      </c>
      <c r="G141" s="174"/>
      <c r="H141" s="174"/>
    </row>
    <row r="142" spans="1:8" x14ac:dyDescent="0.3">
      <c r="A142" s="38"/>
      <c r="B142" s="38"/>
      <c r="C142" s="38"/>
      <c r="D142" s="39"/>
      <c r="E142" s="40"/>
      <c r="F142" s="173"/>
      <c r="G142" s="174"/>
      <c r="H142" s="174"/>
    </row>
    <row r="143" spans="1:8" ht="17.399999999999999" x14ac:dyDescent="0.3">
      <c r="A143" s="191" t="s">
        <v>64</v>
      </c>
      <c r="B143" s="192"/>
      <c r="C143" s="192"/>
      <c r="D143" s="193"/>
      <c r="E143" s="17"/>
      <c r="F143" s="183" t="s">
        <v>44</v>
      </c>
      <c r="G143" s="184"/>
      <c r="H143" s="185"/>
    </row>
    <row r="144" spans="1:8" x14ac:dyDescent="0.3">
      <c r="A144" s="21" t="s">
        <v>21</v>
      </c>
      <c r="B144" s="22" t="s">
        <v>22</v>
      </c>
      <c r="C144" s="22" t="s">
        <v>23</v>
      </c>
      <c r="D144" s="23" t="s">
        <v>25</v>
      </c>
      <c r="E144" s="41"/>
      <c r="F144" s="186"/>
      <c r="G144" s="187"/>
      <c r="H144" s="188"/>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78" t="s">
        <v>65</v>
      </c>
      <c r="B160" s="179"/>
      <c r="C160" s="179"/>
      <c r="D160" s="96">
        <f>SUM(Rehab_48[Amount])</f>
        <v>0</v>
      </c>
      <c r="E160" s="34"/>
      <c r="F160" s="173" t="s">
        <v>33</v>
      </c>
      <c r="G160" s="174"/>
      <c r="H160" s="174"/>
    </row>
    <row r="161" spans="6:8" x14ac:dyDescent="0.3">
      <c r="F161" s="173"/>
      <c r="G161" s="174"/>
      <c r="H161" s="174"/>
    </row>
  </sheetData>
  <sheetProtection algorithmName="SHA-512" hashValue="8s2l1Ix87TTFWtZ+9enoqI+Q3Shuq1+OLeqlmcf19TYF+N8OSwSwvbV0HWGm9UK/+xZVbBmGpZQ7P0k0A8shAg==" saltValue="Mot+th3tJV0+vrJ8C6Xjbg=="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N161"/>
  <sheetViews>
    <sheetView showGridLines="0" zoomScaleNormal="100" workbookViewId="0">
      <pane ySplit="9" topLeftCell="A121" activePane="bottomLeft" state="frozen"/>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5" t="s">
        <v>24</v>
      </c>
      <c r="B1" s="175"/>
      <c r="C1" s="175"/>
      <c r="D1" s="175"/>
      <c r="E1" s="1"/>
      <c r="F1" s="2"/>
      <c r="G1" s="2"/>
      <c r="H1" s="1"/>
    </row>
    <row r="2" spans="1:14" ht="24.9" customHeight="1" x14ac:dyDescent="0.3">
      <c r="A2" s="176" t="s">
        <v>71</v>
      </c>
      <c r="B2" s="176"/>
      <c r="C2" s="176"/>
      <c r="D2" s="176"/>
      <c r="E2" s="4"/>
      <c r="F2" s="90"/>
      <c r="G2" s="90"/>
      <c r="H2" s="5"/>
    </row>
    <row r="3" spans="1:14" ht="31.5" customHeight="1" x14ac:dyDescent="0.3">
      <c r="A3" s="176"/>
      <c r="B3" s="176"/>
      <c r="C3" s="176"/>
      <c r="D3" s="176"/>
      <c r="E3" s="4"/>
      <c r="F3" s="90"/>
      <c r="G3" s="90"/>
      <c r="H3" s="5"/>
    </row>
    <row r="4" spans="1:14" ht="15" customHeight="1" x14ac:dyDescent="0.25">
      <c r="A4" s="75" t="s">
        <v>19</v>
      </c>
      <c r="B4" s="194" t="str">
        <f>IF('Summary Sheet'!B36="","",'Summary Sheet'!B36)</f>
        <v>12721 S MORGAN ST</v>
      </c>
      <c r="C4" s="194"/>
      <c r="D4" s="90"/>
      <c r="E4" s="4"/>
      <c r="F4" s="90"/>
      <c r="G4" s="90"/>
      <c r="H4" s="5"/>
    </row>
    <row r="5" spans="1:14" ht="15" customHeight="1" x14ac:dyDescent="0.25">
      <c r="A5" s="75" t="s">
        <v>20</v>
      </c>
      <c r="B5" s="195" t="str">
        <f>IF('Summary Sheet'!C36="","",'Summary Sheet'!C36)</f>
        <v/>
      </c>
      <c r="C5" s="195"/>
      <c r="D5" s="90"/>
      <c r="E5" s="4"/>
      <c r="F5" s="90"/>
      <c r="G5" s="90"/>
      <c r="H5" s="5"/>
    </row>
    <row r="6" spans="1:14" ht="15" customHeight="1" x14ac:dyDescent="0.25">
      <c r="A6" s="75" t="s">
        <v>36</v>
      </c>
      <c r="B6" s="177"/>
      <c r="C6" s="177"/>
      <c r="D6" s="6"/>
      <c r="E6" s="7"/>
    </row>
    <row r="7" spans="1:14" ht="15" customHeight="1" x14ac:dyDescent="0.25">
      <c r="A7" s="7"/>
      <c r="B7" s="196" t="s">
        <v>34</v>
      </c>
      <c r="C7" s="196"/>
      <c r="D7" s="10"/>
    </row>
    <row r="8" spans="1:14" ht="20.100000000000001" customHeight="1" x14ac:dyDescent="0.25">
      <c r="B8" s="11"/>
      <c r="C8" s="11"/>
      <c r="D8" s="12" t="s">
        <v>31</v>
      </c>
      <c r="F8" s="180" t="s">
        <v>32</v>
      </c>
      <c r="G8" s="181"/>
      <c r="H8" s="182"/>
    </row>
    <row r="9" spans="1:14" s="14" customFormat="1" ht="20.100000000000001" customHeight="1" x14ac:dyDescent="0.25">
      <c r="A9" s="197"/>
      <c r="B9" s="197"/>
      <c r="C9" s="197"/>
      <c r="D9" s="13">
        <f>SUM(D27,D46,D65,D84,D103,D122,D141,D160)</f>
        <v>17810</v>
      </c>
      <c r="F9" s="15" t="s">
        <v>28</v>
      </c>
      <c r="G9" s="15" t="s">
        <v>29</v>
      </c>
      <c r="H9" s="15" t="s">
        <v>30</v>
      </c>
      <c r="I9" s="16"/>
      <c r="J9" s="16"/>
      <c r="K9" s="16"/>
      <c r="L9" s="16"/>
      <c r="M9" s="16"/>
      <c r="N9" s="16"/>
    </row>
    <row r="10" spans="1:14" s="17" customFormat="1" ht="23.1" customHeight="1" x14ac:dyDescent="0.3">
      <c r="A10" s="198" t="s">
        <v>51</v>
      </c>
      <c r="B10" s="198"/>
      <c r="C10" s="198"/>
      <c r="D10" s="198"/>
      <c r="F10" s="183" t="s">
        <v>66</v>
      </c>
      <c r="G10" s="184"/>
      <c r="H10" s="185"/>
      <c r="I10" s="18"/>
      <c r="J10" s="18"/>
      <c r="K10" s="18"/>
      <c r="L10" s="18"/>
      <c r="M10" s="19"/>
      <c r="N10" s="20"/>
    </row>
    <row r="11" spans="1:14" s="24" customFormat="1" ht="12.75" customHeight="1" x14ac:dyDescent="0.25">
      <c r="A11" s="21" t="s">
        <v>21</v>
      </c>
      <c r="B11" s="22" t="s">
        <v>22</v>
      </c>
      <c r="C11" s="22" t="s">
        <v>23</v>
      </c>
      <c r="D11" s="23" t="s">
        <v>25</v>
      </c>
      <c r="F11" s="186"/>
      <c r="G11" s="187"/>
      <c r="H11" s="188"/>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78" t="s">
        <v>53</v>
      </c>
      <c r="B27" s="179"/>
      <c r="C27" s="179"/>
      <c r="D27" s="96">
        <f>SUM(Grass_4[Amount])</f>
        <v>0</v>
      </c>
      <c r="F27" s="173" t="s">
        <v>33</v>
      </c>
      <c r="G27" s="174"/>
      <c r="H27" s="174"/>
      <c r="I27" s="35"/>
      <c r="J27" s="35"/>
      <c r="K27" s="35"/>
      <c r="L27" s="35"/>
      <c r="M27" s="36"/>
      <c r="N27" s="37"/>
    </row>
    <row r="28" spans="1:14" s="40" customFormat="1" ht="11.1" customHeight="1" x14ac:dyDescent="0.3">
      <c r="A28" s="38"/>
      <c r="B28" s="38"/>
      <c r="C28" s="38"/>
      <c r="D28" s="39"/>
      <c r="F28" s="173"/>
      <c r="G28" s="174"/>
      <c r="H28" s="174"/>
      <c r="I28" s="35"/>
      <c r="J28" s="35"/>
      <c r="K28" s="35"/>
      <c r="L28" s="35"/>
      <c r="M28" s="36"/>
      <c r="N28" s="37"/>
    </row>
    <row r="29" spans="1:14" s="17" customFormat="1" ht="23.1" customHeight="1" x14ac:dyDescent="0.3">
      <c r="A29" s="191" t="s">
        <v>67</v>
      </c>
      <c r="B29" s="192"/>
      <c r="C29" s="192"/>
      <c r="D29" s="193"/>
      <c r="F29" s="183" t="s">
        <v>52</v>
      </c>
      <c r="G29" s="184"/>
      <c r="H29" s="185"/>
      <c r="I29" s="18"/>
      <c r="J29" s="18"/>
      <c r="K29" s="18"/>
      <c r="L29" s="18"/>
      <c r="M29" s="19"/>
      <c r="N29" s="20"/>
    </row>
    <row r="30" spans="1:14" s="41" customFormat="1" ht="12.75" customHeight="1" x14ac:dyDescent="0.25">
      <c r="A30" s="21" t="s">
        <v>21</v>
      </c>
      <c r="B30" s="22" t="s">
        <v>22</v>
      </c>
      <c r="C30" s="22" t="s">
        <v>23</v>
      </c>
      <c r="D30" s="23" t="s">
        <v>25</v>
      </c>
      <c r="F30" s="186"/>
      <c r="G30" s="187"/>
      <c r="H30" s="188"/>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89"/>
      <c r="J44" s="29"/>
      <c r="K44" s="29"/>
      <c r="L44" s="89"/>
      <c r="M44" s="30"/>
      <c r="N44" s="16"/>
    </row>
    <row r="45" spans="1:14" x14ac:dyDescent="0.3">
      <c r="A45" s="106"/>
      <c r="B45" s="107"/>
      <c r="C45" s="107"/>
      <c r="D45" s="114"/>
      <c r="F45" s="103"/>
      <c r="G45" s="104"/>
      <c r="H45" s="109"/>
      <c r="I45" s="89"/>
      <c r="J45" s="29"/>
      <c r="K45" s="29"/>
      <c r="L45" s="89"/>
      <c r="M45" s="30"/>
      <c r="N45" s="16"/>
    </row>
    <row r="46" spans="1:14" s="34" customFormat="1" x14ac:dyDescent="0.3">
      <c r="A46" s="178" t="s">
        <v>54</v>
      </c>
      <c r="B46" s="179"/>
      <c r="C46" s="179"/>
      <c r="D46" s="96">
        <f>SUM(Tree_4[Amount])</f>
        <v>0</v>
      </c>
      <c r="F46" s="173" t="s">
        <v>33</v>
      </c>
      <c r="G46" s="174"/>
      <c r="H46" s="174"/>
      <c r="I46" s="43"/>
      <c r="J46" s="43"/>
      <c r="K46" s="43"/>
      <c r="L46" s="43"/>
      <c r="M46" s="36"/>
      <c r="N46" s="37"/>
    </row>
    <row r="47" spans="1:14" s="40" customFormat="1" ht="11.1" customHeight="1" x14ac:dyDescent="0.3">
      <c r="A47" s="38"/>
      <c r="B47" s="38"/>
      <c r="C47" s="38"/>
      <c r="D47" s="39"/>
      <c r="F47" s="173"/>
      <c r="G47" s="174"/>
      <c r="H47" s="174"/>
      <c r="I47" s="43"/>
      <c r="J47" s="43"/>
      <c r="K47" s="43"/>
      <c r="L47" s="43"/>
      <c r="M47" s="36"/>
      <c r="N47" s="37"/>
    </row>
    <row r="48" spans="1:14" s="17" customFormat="1" ht="23.1" customHeight="1" x14ac:dyDescent="0.3">
      <c r="A48" s="191" t="s">
        <v>68</v>
      </c>
      <c r="B48" s="192"/>
      <c r="C48" s="192"/>
      <c r="D48" s="193"/>
      <c r="F48" s="183" t="s">
        <v>55</v>
      </c>
      <c r="G48" s="184"/>
      <c r="H48" s="185"/>
      <c r="I48" s="44"/>
      <c r="J48" s="44"/>
      <c r="K48" s="44"/>
      <c r="L48" s="44"/>
      <c r="M48" s="19"/>
      <c r="N48" s="20"/>
    </row>
    <row r="49" spans="1:14" s="41" customFormat="1" ht="12.75" customHeight="1" x14ac:dyDescent="0.25">
      <c r="A49" s="21" t="s">
        <v>21</v>
      </c>
      <c r="B49" s="22" t="s">
        <v>22</v>
      </c>
      <c r="C49" s="22" t="s">
        <v>23</v>
      </c>
      <c r="D49" s="23" t="s">
        <v>25</v>
      </c>
      <c r="F49" s="186"/>
      <c r="G49" s="187"/>
      <c r="H49" s="188"/>
      <c r="I49" s="89"/>
      <c r="J49" s="89"/>
      <c r="K49" s="89"/>
      <c r="L49" s="89"/>
      <c r="M49" s="30"/>
      <c r="N49" s="42"/>
    </row>
    <row r="50" spans="1:14" x14ac:dyDescent="0.3">
      <c r="A50" s="100"/>
      <c r="B50" s="101"/>
      <c r="C50" s="101"/>
      <c r="D50" s="112"/>
      <c r="F50" s="103"/>
      <c r="G50" s="104"/>
      <c r="H50" s="109"/>
      <c r="I50" s="89"/>
      <c r="J50" s="89"/>
      <c r="K50" s="89"/>
      <c r="L50" s="89"/>
      <c r="M50" s="30"/>
      <c r="N50" s="16"/>
    </row>
    <row r="51" spans="1:14" x14ac:dyDescent="0.3">
      <c r="A51" s="106"/>
      <c r="B51" s="107"/>
      <c r="C51" s="107"/>
      <c r="D51" s="113"/>
      <c r="F51" s="103"/>
      <c r="G51" s="104"/>
      <c r="H51" s="109"/>
      <c r="I51" s="89"/>
      <c r="J51" s="89"/>
      <c r="K51" s="89"/>
      <c r="L51" s="89"/>
      <c r="M51" s="30"/>
      <c r="N51" s="16"/>
    </row>
    <row r="52" spans="1:14" x14ac:dyDescent="0.3">
      <c r="A52" s="106"/>
      <c r="B52" s="107"/>
      <c r="C52" s="107"/>
      <c r="D52" s="114"/>
      <c r="F52" s="103"/>
      <c r="H52" s="109"/>
      <c r="I52" s="89"/>
      <c r="J52" s="89"/>
      <c r="K52" s="89"/>
      <c r="L52" s="89"/>
      <c r="M52" s="30"/>
      <c r="N52" s="16"/>
    </row>
    <row r="53" spans="1:14" x14ac:dyDescent="0.3">
      <c r="A53" s="106"/>
      <c r="B53" s="107"/>
      <c r="C53" s="107"/>
      <c r="D53" s="113"/>
      <c r="F53" s="103"/>
      <c r="G53" s="104"/>
      <c r="H53" s="109"/>
      <c r="I53" s="89"/>
      <c r="J53" s="89"/>
      <c r="K53" s="89"/>
      <c r="L53" s="89"/>
      <c r="M53" s="30"/>
      <c r="N53" s="16"/>
    </row>
    <row r="54" spans="1:14" x14ac:dyDescent="0.3">
      <c r="A54" s="106"/>
      <c r="B54" s="107"/>
      <c r="C54" s="107"/>
      <c r="D54" s="114"/>
      <c r="F54" s="103"/>
      <c r="G54" s="104"/>
      <c r="H54" s="109"/>
      <c r="I54" s="89"/>
      <c r="J54" s="89"/>
      <c r="K54" s="89"/>
      <c r="L54" s="89"/>
      <c r="M54" s="30"/>
      <c r="N54" s="16"/>
    </row>
    <row r="55" spans="1:14" x14ac:dyDescent="0.3">
      <c r="A55" s="106"/>
      <c r="B55" s="107"/>
      <c r="C55" s="107"/>
      <c r="D55" s="113"/>
      <c r="F55" s="103"/>
      <c r="G55" s="104"/>
      <c r="H55" s="109"/>
      <c r="I55" s="89"/>
      <c r="J55" s="89"/>
      <c r="K55" s="89"/>
      <c r="L55" s="89"/>
      <c r="M55" s="30"/>
      <c r="N55" s="16"/>
    </row>
    <row r="56" spans="1:14" x14ac:dyDescent="0.3">
      <c r="A56" s="106"/>
      <c r="B56" s="107"/>
      <c r="C56" s="107"/>
      <c r="D56" s="114"/>
      <c r="F56" s="103"/>
      <c r="G56" s="104"/>
      <c r="H56" s="109"/>
      <c r="I56" s="89"/>
      <c r="J56" s="89"/>
      <c r="K56" s="89"/>
      <c r="L56" s="89"/>
      <c r="M56" s="30"/>
      <c r="N56" s="16"/>
    </row>
    <row r="57" spans="1:14" x14ac:dyDescent="0.3">
      <c r="A57" s="106"/>
      <c r="B57" s="107"/>
      <c r="C57" s="107"/>
      <c r="D57" s="113"/>
      <c r="F57" s="103"/>
      <c r="G57" s="104"/>
      <c r="H57" s="109"/>
      <c r="I57" s="89"/>
      <c r="J57" s="89"/>
      <c r="K57" s="89"/>
      <c r="L57" s="89"/>
      <c r="M57" s="30"/>
      <c r="N57" s="16"/>
    </row>
    <row r="58" spans="1:14" x14ac:dyDescent="0.3">
      <c r="A58" s="106"/>
      <c r="B58" s="107"/>
      <c r="C58" s="107"/>
      <c r="D58" s="114"/>
      <c r="F58" s="103"/>
      <c r="G58" s="104"/>
      <c r="H58" s="109"/>
      <c r="I58" s="89"/>
      <c r="J58" s="89"/>
      <c r="K58" s="89"/>
      <c r="L58" s="89"/>
      <c r="M58" s="30"/>
      <c r="N58" s="16"/>
    </row>
    <row r="59" spans="1:14" x14ac:dyDescent="0.3">
      <c r="A59" s="106"/>
      <c r="B59" s="107"/>
      <c r="C59" s="107"/>
      <c r="D59" s="113"/>
      <c r="F59" s="103"/>
      <c r="G59" s="104"/>
      <c r="H59" s="109"/>
      <c r="I59" s="89"/>
      <c r="J59" s="190"/>
      <c r="K59" s="190"/>
      <c r="L59" s="89"/>
      <c r="M59" s="30"/>
      <c r="N59" s="16"/>
    </row>
    <row r="60" spans="1:14" x14ac:dyDescent="0.3">
      <c r="A60" s="106"/>
      <c r="B60" s="107"/>
      <c r="C60" s="107"/>
      <c r="D60" s="114"/>
      <c r="F60" s="103"/>
      <c r="G60" s="104"/>
      <c r="H60" s="109"/>
      <c r="I60" s="189"/>
      <c r="J60" s="189"/>
      <c r="K60" s="189"/>
      <c r="L60" s="189"/>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78" t="s">
        <v>56</v>
      </c>
      <c r="B65" s="179"/>
      <c r="C65" s="179"/>
      <c r="D65" s="96">
        <f>SUM(Pest_4[Amount])</f>
        <v>0</v>
      </c>
      <c r="F65" s="173" t="s">
        <v>33</v>
      </c>
      <c r="G65" s="174"/>
      <c r="H65" s="174"/>
    </row>
    <row r="66" spans="1:8" x14ac:dyDescent="0.3">
      <c r="F66" s="173"/>
      <c r="G66" s="174"/>
      <c r="H66" s="174"/>
    </row>
    <row r="67" spans="1:8" ht="17.399999999999999" x14ac:dyDescent="0.3">
      <c r="A67" s="198" t="s">
        <v>69</v>
      </c>
      <c r="B67" s="198"/>
      <c r="C67" s="198"/>
      <c r="D67" s="198"/>
      <c r="E67" s="17"/>
      <c r="F67" s="183" t="s">
        <v>57</v>
      </c>
      <c r="G67" s="184"/>
      <c r="H67" s="185"/>
    </row>
    <row r="68" spans="1:8" x14ac:dyDescent="0.3">
      <c r="A68" s="21" t="s">
        <v>21</v>
      </c>
      <c r="B68" s="22" t="s">
        <v>22</v>
      </c>
      <c r="C68" s="22" t="s">
        <v>23</v>
      </c>
      <c r="D68" s="23" t="s">
        <v>25</v>
      </c>
      <c r="E68" s="24"/>
      <c r="F68" s="186"/>
      <c r="G68" s="187"/>
      <c r="H68" s="188"/>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78" t="s">
        <v>58</v>
      </c>
      <c r="B84" s="179"/>
      <c r="C84" s="179"/>
      <c r="D84" s="96">
        <f>SUM(Garbage_4[Amount])</f>
        <v>0</v>
      </c>
      <c r="E84" s="34"/>
      <c r="F84" s="173" t="s">
        <v>33</v>
      </c>
      <c r="G84" s="174"/>
      <c r="H84" s="174"/>
    </row>
    <row r="85" spans="1:8" x14ac:dyDescent="0.3">
      <c r="A85" s="38"/>
      <c r="B85" s="38"/>
      <c r="C85" s="38"/>
      <c r="D85" s="39"/>
      <c r="E85" s="40"/>
      <c r="F85" s="173"/>
      <c r="G85" s="174"/>
      <c r="H85" s="174"/>
    </row>
    <row r="86" spans="1:8" ht="17.399999999999999" x14ac:dyDescent="0.3">
      <c r="A86" s="191" t="s">
        <v>59</v>
      </c>
      <c r="B86" s="192"/>
      <c r="C86" s="192"/>
      <c r="D86" s="193"/>
      <c r="E86" s="17"/>
      <c r="F86" s="183" t="s">
        <v>60</v>
      </c>
      <c r="G86" s="184"/>
      <c r="H86" s="185"/>
    </row>
    <row r="87" spans="1:8" x14ac:dyDescent="0.3">
      <c r="A87" s="21" t="s">
        <v>21</v>
      </c>
      <c r="B87" s="22" t="s">
        <v>22</v>
      </c>
      <c r="C87" s="22" t="s">
        <v>23</v>
      </c>
      <c r="D87" s="23" t="s">
        <v>25</v>
      </c>
      <c r="E87" s="41"/>
      <c r="F87" s="186"/>
      <c r="G87" s="187"/>
      <c r="H87" s="188"/>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78" t="s">
        <v>61</v>
      </c>
      <c r="B103" s="179"/>
      <c r="C103" s="179"/>
      <c r="D103" s="96">
        <f>SUM(Boarding_4[Amount])</f>
        <v>0</v>
      </c>
      <c r="E103" s="34"/>
      <c r="F103" s="173" t="s">
        <v>33</v>
      </c>
      <c r="G103" s="174"/>
      <c r="H103" s="174"/>
    </row>
    <row r="104" spans="1:8" x14ac:dyDescent="0.3">
      <c r="A104" s="38"/>
      <c r="B104" s="38"/>
      <c r="C104" s="38"/>
      <c r="D104" s="39"/>
      <c r="E104" s="40"/>
      <c r="F104" s="173"/>
      <c r="G104" s="174"/>
      <c r="H104" s="174"/>
    </row>
    <row r="105" spans="1:8" ht="17.399999999999999" x14ac:dyDescent="0.3">
      <c r="A105" s="191" t="s">
        <v>70</v>
      </c>
      <c r="B105" s="192"/>
      <c r="C105" s="192"/>
      <c r="D105" s="193"/>
      <c r="E105" s="17"/>
      <c r="F105" s="183" t="s">
        <v>62</v>
      </c>
      <c r="G105" s="184"/>
      <c r="H105" s="185"/>
    </row>
    <row r="106" spans="1:8" x14ac:dyDescent="0.3">
      <c r="A106" s="21" t="s">
        <v>21</v>
      </c>
      <c r="B106" s="22" t="s">
        <v>22</v>
      </c>
      <c r="C106" s="22" t="s">
        <v>23</v>
      </c>
      <c r="D106" s="23" t="s">
        <v>25</v>
      </c>
      <c r="E106" s="41"/>
      <c r="F106" s="186"/>
      <c r="G106" s="187"/>
      <c r="H106" s="188"/>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78" t="s">
        <v>63</v>
      </c>
      <c r="B122" s="179"/>
      <c r="C122" s="179"/>
      <c r="D122" s="96">
        <f>SUM(Fence_4[Amount])</f>
        <v>0</v>
      </c>
      <c r="E122" s="34"/>
      <c r="F122" s="173" t="s">
        <v>33</v>
      </c>
      <c r="G122" s="174"/>
      <c r="H122" s="174"/>
    </row>
    <row r="123" spans="1:8" x14ac:dyDescent="0.3">
      <c r="F123" s="173"/>
      <c r="G123" s="174"/>
      <c r="H123" s="174"/>
    </row>
    <row r="124" spans="1:8" ht="17.399999999999999" x14ac:dyDescent="0.3">
      <c r="A124" s="191" t="s">
        <v>26</v>
      </c>
      <c r="B124" s="192"/>
      <c r="C124" s="192"/>
      <c r="D124" s="193"/>
      <c r="E124" s="17"/>
      <c r="F124" s="183" t="s">
        <v>11</v>
      </c>
      <c r="G124" s="184"/>
      <c r="H124" s="185"/>
    </row>
    <row r="125" spans="1:8" x14ac:dyDescent="0.3">
      <c r="A125" s="21" t="s">
        <v>21</v>
      </c>
      <c r="B125" s="22" t="s">
        <v>22</v>
      </c>
      <c r="C125" s="22" t="s">
        <v>23</v>
      </c>
      <c r="D125" s="23" t="s">
        <v>25</v>
      </c>
      <c r="E125" s="41"/>
      <c r="F125" s="186"/>
      <c r="G125" s="187"/>
      <c r="H125" s="188"/>
    </row>
    <row r="126" spans="1:8" x14ac:dyDescent="0.3">
      <c r="A126" s="100"/>
      <c r="B126" s="101"/>
      <c r="C126" s="101"/>
      <c r="D126" s="143">
        <v>17810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78" t="s">
        <v>27</v>
      </c>
      <c r="B141" s="179"/>
      <c r="C141" s="179"/>
      <c r="D141" s="96">
        <f>SUM(Demolition_4[Amount])</f>
        <v>17810</v>
      </c>
      <c r="E141" s="34"/>
      <c r="F141" s="173" t="s">
        <v>33</v>
      </c>
      <c r="G141" s="174"/>
      <c r="H141" s="174"/>
    </row>
    <row r="142" spans="1:8" x14ac:dyDescent="0.3">
      <c r="A142" s="38"/>
      <c r="B142" s="38"/>
      <c r="C142" s="38"/>
      <c r="D142" s="39"/>
      <c r="E142" s="40"/>
      <c r="F142" s="173"/>
      <c r="G142" s="174"/>
      <c r="H142" s="174"/>
    </row>
    <row r="143" spans="1:8" ht="17.399999999999999" x14ac:dyDescent="0.3">
      <c r="A143" s="191" t="s">
        <v>64</v>
      </c>
      <c r="B143" s="192"/>
      <c r="C143" s="192"/>
      <c r="D143" s="193"/>
      <c r="E143" s="17"/>
      <c r="F143" s="183" t="s">
        <v>44</v>
      </c>
      <c r="G143" s="184"/>
      <c r="H143" s="185"/>
    </row>
    <row r="144" spans="1:8" x14ac:dyDescent="0.3">
      <c r="A144" s="21" t="s">
        <v>21</v>
      </c>
      <c r="B144" s="22" t="s">
        <v>22</v>
      </c>
      <c r="C144" s="22" t="s">
        <v>23</v>
      </c>
      <c r="D144" s="23" t="s">
        <v>25</v>
      </c>
      <c r="E144" s="41"/>
      <c r="F144" s="186"/>
      <c r="G144" s="187"/>
      <c r="H144" s="188"/>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78" t="s">
        <v>65</v>
      </c>
      <c r="B160" s="179"/>
      <c r="C160" s="179"/>
      <c r="D160" s="96">
        <f>SUM(Rehab_4[Amount])</f>
        <v>0</v>
      </c>
      <c r="E160" s="34"/>
      <c r="F160" s="173" t="s">
        <v>33</v>
      </c>
      <c r="G160" s="174"/>
      <c r="H160" s="174"/>
    </row>
    <row r="161" spans="6:8" x14ac:dyDescent="0.3">
      <c r="F161" s="173"/>
      <c r="G161" s="174"/>
      <c r="H161" s="174"/>
    </row>
  </sheetData>
  <sheetProtection algorithmName="SHA-512" hashValue="gLSJJIXMqPgfriev0ZAMjbw5HSRmq2uCtmywv+YXAqJUlV0zo6XPyTkqdgueCpvDeLL3x6hNL+Ws6iRpHq8LHA==" saltValue="jfX1MQIDy7OtG4UwvopMDg==" spinCount="100000" sheet="1" insertRows="0" deleteRows="0"/>
  <protectedRanges>
    <protectedRange sqref="G160 F145:H159 G141 F126:H140 G122 F107:H121 G103 F88:H102 G84 F69:H83 G65 F50:H64 G46 F31:H45 G27 F12:H26" name="Comments"/>
    <protectedRange sqref="A145:D159" name="Rehab"/>
    <protectedRange sqref="A126:D140" name="Demolition"/>
    <protectedRange sqref="A107:D121" name="Fence"/>
    <protectedRange sqref="A88:D102" name="Boarding"/>
    <protectedRange sqref="A69:D83" name="Garbage"/>
    <protectedRange sqref="A50:D64" name="Pest"/>
    <protectedRange sqref="A31:D45" name="Tree"/>
    <protectedRange sqref="B6" name="Units"/>
    <protectedRange sqref="A12:D26" name="Gras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fitToPage="1"/>
  </sheetPr>
  <dimension ref="A1:N161"/>
  <sheetViews>
    <sheetView showGridLines="0" zoomScaleNormal="100" workbookViewId="0">
      <pane ySplit="9" topLeftCell="A118"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5" t="s">
        <v>24</v>
      </c>
      <c r="B1" s="175"/>
      <c r="C1" s="175"/>
      <c r="D1" s="175"/>
      <c r="E1" s="1"/>
      <c r="F1" s="2"/>
      <c r="G1" s="2"/>
      <c r="H1" s="1"/>
    </row>
    <row r="2" spans="1:14" ht="24.9" customHeight="1" x14ac:dyDescent="0.3">
      <c r="A2" s="176" t="s">
        <v>71</v>
      </c>
      <c r="B2" s="176"/>
      <c r="C2" s="176"/>
      <c r="D2" s="176"/>
      <c r="E2" s="4"/>
      <c r="F2" s="120"/>
      <c r="G2" s="120"/>
      <c r="H2" s="5"/>
    </row>
    <row r="3" spans="1:14" ht="31.5" customHeight="1" x14ac:dyDescent="0.3">
      <c r="A3" s="176"/>
      <c r="B3" s="176"/>
      <c r="C3" s="176"/>
      <c r="D3" s="176"/>
      <c r="E3" s="4"/>
      <c r="F3" s="120"/>
      <c r="G3" s="120"/>
      <c r="H3" s="5"/>
    </row>
    <row r="4" spans="1:14" ht="15" customHeight="1" x14ac:dyDescent="0.25">
      <c r="A4" s="75" t="s">
        <v>19</v>
      </c>
      <c r="B4" s="194" t="str">
        <f>IF('Summary Sheet'!B81="","",'Summary Sheet'!B81)</f>
        <v>2050 W SUPERIOR</v>
      </c>
      <c r="C4" s="194"/>
      <c r="D4" s="120"/>
      <c r="E4" s="4"/>
      <c r="F4" s="120"/>
      <c r="G4" s="120"/>
      <c r="H4" s="5"/>
    </row>
    <row r="5" spans="1:14" ht="15" customHeight="1" x14ac:dyDescent="0.25">
      <c r="A5" s="75" t="s">
        <v>20</v>
      </c>
      <c r="B5" s="195" t="str">
        <f>IF('Summary Sheet'!C81="","",'Summary Sheet'!C81)</f>
        <v/>
      </c>
      <c r="C5" s="195"/>
      <c r="D5" s="120"/>
      <c r="E5" s="4"/>
      <c r="F5" s="120"/>
      <c r="G5" s="120"/>
      <c r="H5" s="5"/>
    </row>
    <row r="6" spans="1:14" ht="15" customHeight="1" x14ac:dyDescent="0.25">
      <c r="A6" s="75" t="s">
        <v>36</v>
      </c>
      <c r="B6" s="177"/>
      <c r="C6" s="177"/>
      <c r="D6" s="6"/>
      <c r="E6" s="7"/>
    </row>
    <row r="7" spans="1:14" ht="15" customHeight="1" x14ac:dyDescent="0.25">
      <c r="A7" s="7"/>
      <c r="B7" s="196" t="s">
        <v>34</v>
      </c>
      <c r="C7" s="196"/>
      <c r="D7" s="10"/>
    </row>
    <row r="8" spans="1:14" ht="20.100000000000001" customHeight="1" x14ac:dyDescent="0.25">
      <c r="B8" s="11"/>
      <c r="C8" s="11"/>
      <c r="D8" s="12" t="s">
        <v>31</v>
      </c>
      <c r="F8" s="180" t="s">
        <v>32</v>
      </c>
      <c r="G8" s="181"/>
      <c r="H8" s="182"/>
    </row>
    <row r="9" spans="1:14" s="14" customFormat="1" ht="20.100000000000001" customHeight="1" x14ac:dyDescent="0.25">
      <c r="A9" s="197"/>
      <c r="B9" s="197"/>
      <c r="C9" s="197"/>
      <c r="D9" s="13">
        <f>SUM(D27,D46,D65,D84,D103,D122,D141,D160)</f>
        <v>50510</v>
      </c>
      <c r="F9" s="15" t="s">
        <v>28</v>
      </c>
      <c r="G9" s="15" t="s">
        <v>29</v>
      </c>
      <c r="H9" s="15" t="s">
        <v>30</v>
      </c>
      <c r="I9" s="16"/>
      <c r="J9" s="16"/>
      <c r="K9" s="16"/>
      <c r="L9" s="16"/>
      <c r="M9" s="16"/>
      <c r="N9" s="16"/>
    </row>
    <row r="10" spans="1:14" s="17" customFormat="1" ht="23.1" customHeight="1" x14ac:dyDescent="0.3">
      <c r="A10" s="198" t="s">
        <v>51</v>
      </c>
      <c r="B10" s="198"/>
      <c r="C10" s="198"/>
      <c r="D10" s="198"/>
      <c r="F10" s="183" t="s">
        <v>66</v>
      </c>
      <c r="G10" s="184"/>
      <c r="H10" s="185"/>
      <c r="I10" s="18"/>
      <c r="J10" s="18"/>
      <c r="K10" s="18"/>
      <c r="L10" s="18"/>
      <c r="M10" s="19"/>
      <c r="N10" s="20"/>
    </row>
    <row r="11" spans="1:14" s="24" customFormat="1" ht="12.75" customHeight="1" x14ac:dyDescent="0.25">
      <c r="A11" s="21" t="s">
        <v>21</v>
      </c>
      <c r="B11" s="22" t="s">
        <v>22</v>
      </c>
      <c r="C11" s="22" t="s">
        <v>23</v>
      </c>
      <c r="D11" s="23" t="s">
        <v>25</v>
      </c>
      <c r="F11" s="186"/>
      <c r="G11" s="187"/>
      <c r="H11" s="188"/>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78" t="s">
        <v>53</v>
      </c>
      <c r="B27" s="179"/>
      <c r="C27" s="179"/>
      <c r="D27" s="96">
        <f>SUM(Grass_49[Amount])</f>
        <v>0</v>
      </c>
      <c r="F27" s="173" t="s">
        <v>33</v>
      </c>
      <c r="G27" s="174"/>
      <c r="H27" s="174"/>
      <c r="I27" s="35"/>
      <c r="J27" s="35"/>
      <c r="K27" s="35"/>
      <c r="L27" s="35"/>
      <c r="M27" s="36"/>
      <c r="N27" s="37"/>
    </row>
    <row r="28" spans="1:14" s="40" customFormat="1" ht="11.1" customHeight="1" x14ac:dyDescent="0.3">
      <c r="A28" s="38"/>
      <c r="B28" s="38"/>
      <c r="C28" s="38"/>
      <c r="D28" s="39"/>
      <c r="F28" s="173"/>
      <c r="G28" s="174"/>
      <c r="H28" s="174"/>
      <c r="I28" s="35"/>
      <c r="J28" s="35"/>
      <c r="K28" s="35"/>
      <c r="L28" s="35"/>
      <c r="M28" s="36"/>
      <c r="N28" s="37"/>
    </row>
    <row r="29" spans="1:14" s="17" customFormat="1" ht="23.1" customHeight="1" x14ac:dyDescent="0.3">
      <c r="A29" s="191" t="s">
        <v>67</v>
      </c>
      <c r="B29" s="192"/>
      <c r="C29" s="192"/>
      <c r="D29" s="193"/>
      <c r="F29" s="183" t="s">
        <v>52</v>
      </c>
      <c r="G29" s="184"/>
      <c r="H29" s="185"/>
      <c r="I29" s="18"/>
      <c r="J29" s="18"/>
      <c r="K29" s="18"/>
      <c r="L29" s="18"/>
      <c r="M29" s="19"/>
      <c r="N29" s="20"/>
    </row>
    <row r="30" spans="1:14" s="41" customFormat="1" ht="12.75" customHeight="1" x14ac:dyDescent="0.25">
      <c r="A30" s="21" t="s">
        <v>21</v>
      </c>
      <c r="B30" s="22" t="s">
        <v>22</v>
      </c>
      <c r="C30" s="22" t="s">
        <v>23</v>
      </c>
      <c r="D30" s="23" t="s">
        <v>25</v>
      </c>
      <c r="F30" s="186"/>
      <c r="G30" s="187"/>
      <c r="H30" s="188"/>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19"/>
      <c r="J44" s="29"/>
      <c r="K44" s="29"/>
      <c r="L44" s="119"/>
      <c r="M44" s="30"/>
      <c r="N44" s="16"/>
    </row>
    <row r="45" spans="1:14" x14ac:dyDescent="0.3">
      <c r="A45" s="106"/>
      <c r="B45" s="107"/>
      <c r="C45" s="107"/>
      <c r="D45" s="114"/>
      <c r="F45" s="103"/>
      <c r="G45" s="104"/>
      <c r="H45" s="109"/>
      <c r="I45" s="119"/>
      <c r="J45" s="29"/>
      <c r="K45" s="29"/>
      <c r="L45" s="119"/>
      <c r="M45" s="30"/>
      <c r="N45" s="16"/>
    </row>
    <row r="46" spans="1:14" s="34" customFormat="1" x14ac:dyDescent="0.3">
      <c r="A46" s="178" t="s">
        <v>54</v>
      </c>
      <c r="B46" s="179"/>
      <c r="C46" s="179"/>
      <c r="D46" s="96">
        <f>SUM(Tree_49[Amount])</f>
        <v>0</v>
      </c>
      <c r="F46" s="173" t="s">
        <v>33</v>
      </c>
      <c r="G46" s="174"/>
      <c r="H46" s="174"/>
      <c r="I46" s="43"/>
      <c r="J46" s="43"/>
      <c r="K46" s="43"/>
      <c r="L46" s="43"/>
      <c r="M46" s="36"/>
      <c r="N46" s="37"/>
    </row>
    <row r="47" spans="1:14" s="40" customFormat="1" ht="11.1" customHeight="1" x14ac:dyDescent="0.3">
      <c r="A47" s="38"/>
      <c r="B47" s="38"/>
      <c r="C47" s="38"/>
      <c r="D47" s="39"/>
      <c r="F47" s="173"/>
      <c r="G47" s="174"/>
      <c r="H47" s="174"/>
      <c r="I47" s="43"/>
      <c r="J47" s="43"/>
      <c r="K47" s="43"/>
      <c r="L47" s="43"/>
      <c r="M47" s="36"/>
      <c r="N47" s="37"/>
    </row>
    <row r="48" spans="1:14" s="17" customFormat="1" ht="23.1" customHeight="1" x14ac:dyDescent="0.3">
      <c r="A48" s="191" t="s">
        <v>68</v>
      </c>
      <c r="B48" s="192"/>
      <c r="C48" s="192"/>
      <c r="D48" s="193"/>
      <c r="F48" s="183" t="s">
        <v>55</v>
      </c>
      <c r="G48" s="184"/>
      <c r="H48" s="185"/>
      <c r="I48" s="44"/>
      <c r="J48" s="44"/>
      <c r="K48" s="44"/>
      <c r="L48" s="44"/>
      <c r="M48" s="19"/>
      <c r="N48" s="20"/>
    </row>
    <row r="49" spans="1:14" s="41" customFormat="1" ht="12.75" customHeight="1" x14ac:dyDescent="0.25">
      <c r="A49" s="21" t="s">
        <v>21</v>
      </c>
      <c r="B49" s="22" t="s">
        <v>22</v>
      </c>
      <c r="C49" s="22" t="s">
        <v>23</v>
      </c>
      <c r="D49" s="23" t="s">
        <v>25</v>
      </c>
      <c r="F49" s="186"/>
      <c r="G49" s="187"/>
      <c r="H49" s="188"/>
      <c r="I49" s="119"/>
      <c r="J49" s="119"/>
      <c r="K49" s="119"/>
      <c r="L49" s="119"/>
      <c r="M49" s="30"/>
      <c r="N49" s="42"/>
    </row>
    <row r="50" spans="1:14" x14ac:dyDescent="0.3">
      <c r="A50" s="100"/>
      <c r="B50" s="101"/>
      <c r="C50" s="101"/>
      <c r="D50" s="112"/>
      <c r="F50" s="103"/>
      <c r="G50" s="104"/>
      <c r="H50" s="109"/>
      <c r="I50" s="119"/>
      <c r="J50" s="119"/>
      <c r="K50" s="119"/>
      <c r="L50" s="119"/>
      <c r="M50" s="30"/>
      <c r="N50" s="16"/>
    </row>
    <row r="51" spans="1:14" x14ac:dyDescent="0.3">
      <c r="A51" s="106"/>
      <c r="B51" s="107"/>
      <c r="C51" s="107"/>
      <c r="D51" s="113"/>
      <c r="F51" s="103"/>
      <c r="G51" s="104"/>
      <c r="H51" s="109"/>
      <c r="I51" s="119"/>
      <c r="J51" s="119"/>
      <c r="K51" s="119"/>
      <c r="L51" s="119"/>
      <c r="M51" s="30"/>
      <c r="N51" s="16"/>
    </row>
    <row r="52" spans="1:14" x14ac:dyDescent="0.3">
      <c r="A52" s="106"/>
      <c r="B52" s="107"/>
      <c r="C52" s="107"/>
      <c r="D52" s="114"/>
      <c r="F52" s="103"/>
      <c r="H52" s="109"/>
      <c r="I52" s="119"/>
      <c r="J52" s="119"/>
      <c r="K52" s="119"/>
      <c r="L52" s="119"/>
      <c r="M52" s="30"/>
      <c r="N52" s="16"/>
    </row>
    <row r="53" spans="1:14" x14ac:dyDescent="0.3">
      <c r="A53" s="106"/>
      <c r="B53" s="107"/>
      <c r="C53" s="107"/>
      <c r="D53" s="113"/>
      <c r="F53" s="103"/>
      <c r="G53" s="104"/>
      <c r="H53" s="109"/>
      <c r="I53" s="119"/>
      <c r="J53" s="119"/>
      <c r="K53" s="119"/>
      <c r="L53" s="119"/>
      <c r="M53" s="30"/>
      <c r="N53" s="16"/>
    </row>
    <row r="54" spans="1:14" x14ac:dyDescent="0.3">
      <c r="A54" s="106"/>
      <c r="B54" s="107"/>
      <c r="C54" s="107"/>
      <c r="D54" s="114"/>
      <c r="F54" s="103"/>
      <c r="G54" s="104"/>
      <c r="H54" s="109"/>
      <c r="I54" s="119"/>
      <c r="J54" s="119"/>
      <c r="K54" s="119"/>
      <c r="L54" s="119"/>
      <c r="M54" s="30"/>
      <c r="N54" s="16"/>
    </row>
    <row r="55" spans="1:14" x14ac:dyDescent="0.3">
      <c r="A55" s="106"/>
      <c r="B55" s="107"/>
      <c r="C55" s="107"/>
      <c r="D55" s="113"/>
      <c r="F55" s="103"/>
      <c r="G55" s="104"/>
      <c r="H55" s="109"/>
      <c r="I55" s="119"/>
      <c r="J55" s="119"/>
      <c r="K55" s="119"/>
      <c r="L55" s="119"/>
      <c r="M55" s="30"/>
      <c r="N55" s="16"/>
    </row>
    <row r="56" spans="1:14" x14ac:dyDescent="0.3">
      <c r="A56" s="106"/>
      <c r="B56" s="107"/>
      <c r="C56" s="107"/>
      <c r="D56" s="114"/>
      <c r="F56" s="103"/>
      <c r="G56" s="104"/>
      <c r="H56" s="109"/>
      <c r="I56" s="119"/>
      <c r="J56" s="119"/>
      <c r="K56" s="119"/>
      <c r="L56" s="119"/>
      <c r="M56" s="30"/>
      <c r="N56" s="16"/>
    </row>
    <row r="57" spans="1:14" x14ac:dyDescent="0.3">
      <c r="A57" s="106"/>
      <c r="B57" s="107"/>
      <c r="C57" s="107"/>
      <c r="D57" s="113"/>
      <c r="F57" s="103"/>
      <c r="G57" s="104"/>
      <c r="H57" s="109"/>
      <c r="I57" s="119"/>
      <c r="J57" s="119"/>
      <c r="K57" s="119"/>
      <c r="L57" s="119"/>
      <c r="M57" s="30"/>
      <c r="N57" s="16"/>
    </row>
    <row r="58" spans="1:14" x14ac:dyDescent="0.3">
      <c r="A58" s="106"/>
      <c r="B58" s="107"/>
      <c r="C58" s="107"/>
      <c r="D58" s="114"/>
      <c r="F58" s="103"/>
      <c r="G58" s="104"/>
      <c r="H58" s="109"/>
      <c r="I58" s="119"/>
      <c r="J58" s="119"/>
      <c r="K58" s="119"/>
      <c r="L58" s="119"/>
      <c r="M58" s="30"/>
      <c r="N58" s="16"/>
    </row>
    <row r="59" spans="1:14" x14ac:dyDescent="0.3">
      <c r="A59" s="106"/>
      <c r="B59" s="107"/>
      <c r="C59" s="107"/>
      <c r="D59" s="113"/>
      <c r="F59" s="103"/>
      <c r="G59" s="104"/>
      <c r="H59" s="109"/>
      <c r="I59" s="119"/>
      <c r="J59" s="190"/>
      <c r="K59" s="190"/>
      <c r="L59" s="119"/>
      <c r="M59" s="30"/>
      <c r="N59" s="16"/>
    </row>
    <row r="60" spans="1:14" x14ac:dyDescent="0.3">
      <c r="A60" s="106"/>
      <c r="B60" s="107"/>
      <c r="C60" s="107"/>
      <c r="D60" s="114"/>
      <c r="F60" s="103"/>
      <c r="G60" s="104"/>
      <c r="H60" s="109"/>
      <c r="I60" s="189"/>
      <c r="J60" s="189"/>
      <c r="K60" s="189"/>
      <c r="L60" s="189"/>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78" t="s">
        <v>56</v>
      </c>
      <c r="B65" s="179"/>
      <c r="C65" s="179"/>
      <c r="D65" s="96">
        <f>SUM(Pest_49[Amount])</f>
        <v>0</v>
      </c>
      <c r="F65" s="173" t="s">
        <v>33</v>
      </c>
      <c r="G65" s="174"/>
      <c r="H65" s="174"/>
    </row>
    <row r="66" spans="1:8" x14ac:dyDescent="0.3">
      <c r="F66" s="173"/>
      <c r="G66" s="174"/>
      <c r="H66" s="174"/>
    </row>
    <row r="67" spans="1:8" ht="17.399999999999999" x14ac:dyDescent="0.3">
      <c r="A67" s="198" t="s">
        <v>69</v>
      </c>
      <c r="B67" s="198"/>
      <c r="C67" s="198"/>
      <c r="D67" s="198"/>
      <c r="E67" s="17"/>
      <c r="F67" s="183" t="s">
        <v>57</v>
      </c>
      <c r="G67" s="184"/>
      <c r="H67" s="185"/>
    </row>
    <row r="68" spans="1:8" x14ac:dyDescent="0.3">
      <c r="A68" s="21" t="s">
        <v>21</v>
      </c>
      <c r="B68" s="22" t="s">
        <v>22</v>
      </c>
      <c r="C68" s="22" t="s">
        <v>23</v>
      </c>
      <c r="D68" s="23" t="s">
        <v>25</v>
      </c>
      <c r="E68" s="24"/>
      <c r="F68" s="186"/>
      <c r="G68" s="187"/>
      <c r="H68" s="188"/>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78" t="s">
        <v>58</v>
      </c>
      <c r="B84" s="179"/>
      <c r="C84" s="179"/>
      <c r="D84" s="96">
        <f>SUM(Garbage_49[Amount])</f>
        <v>0</v>
      </c>
      <c r="E84" s="34"/>
      <c r="F84" s="173" t="s">
        <v>33</v>
      </c>
      <c r="G84" s="174"/>
      <c r="H84" s="174"/>
    </row>
    <row r="85" spans="1:8" x14ac:dyDescent="0.3">
      <c r="A85" s="38"/>
      <c r="B85" s="38"/>
      <c r="C85" s="38"/>
      <c r="D85" s="39"/>
      <c r="E85" s="40"/>
      <c r="F85" s="173"/>
      <c r="G85" s="174"/>
      <c r="H85" s="174"/>
    </row>
    <row r="86" spans="1:8" ht="17.399999999999999" x14ac:dyDescent="0.3">
      <c r="A86" s="191" t="s">
        <v>59</v>
      </c>
      <c r="B86" s="192"/>
      <c r="C86" s="192"/>
      <c r="D86" s="193"/>
      <c r="E86" s="17"/>
      <c r="F86" s="183" t="s">
        <v>60</v>
      </c>
      <c r="G86" s="184"/>
      <c r="H86" s="185"/>
    </row>
    <row r="87" spans="1:8" x14ac:dyDescent="0.3">
      <c r="A87" s="21" t="s">
        <v>21</v>
      </c>
      <c r="B87" s="22" t="s">
        <v>22</v>
      </c>
      <c r="C87" s="22" t="s">
        <v>23</v>
      </c>
      <c r="D87" s="23" t="s">
        <v>25</v>
      </c>
      <c r="E87" s="41"/>
      <c r="F87" s="186"/>
      <c r="G87" s="187"/>
      <c r="H87" s="188"/>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78" t="s">
        <v>61</v>
      </c>
      <c r="B103" s="179"/>
      <c r="C103" s="179"/>
      <c r="D103" s="96">
        <f>SUM(Boarding_49[Amount])</f>
        <v>0</v>
      </c>
      <c r="E103" s="34"/>
      <c r="F103" s="173" t="s">
        <v>33</v>
      </c>
      <c r="G103" s="174"/>
      <c r="H103" s="174"/>
    </row>
    <row r="104" spans="1:8" x14ac:dyDescent="0.3">
      <c r="A104" s="38"/>
      <c r="B104" s="38"/>
      <c r="C104" s="38"/>
      <c r="D104" s="39"/>
      <c r="E104" s="40"/>
      <c r="F104" s="173"/>
      <c r="G104" s="174"/>
      <c r="H104" s="174"/>
    </row>
    <row r="105" spans="1:8" ht="17.399999999999999" x14ac:dyDescent="0.3">
      <c r="A105" s="191" t="s">
        <v>70</v>
      </c>
      <c r="B105" s="192"/>
      <c r="C105" s="192"/>
      <c r="D105" s="193"/>
      <c r="E105" s="17"/>
      <c r="F105" s="183" t="s">
        <v>62</v>
      </c>
      <c r="G105" s="184"/>
      <c r="H105" s="185"/>
    </row>
    <row r="106" spans="1:8" x14ac:dyDescent="0.3">
      <c r="A106" s="21" t="s">
        <v>21</v>
      </c>
      <c r="B106" s="22" t="s">
        <v>22</v>
      </c>
      <c r="C106" s="22" t="s">
        <v>23</v>
      </c>
      <c r="D106" s="23" t="s">
        <v>25</v>
      </c>
      <c r="E106" s="41"/>
      <c r="F106" s="186"/>
      <c r="G106" s="187"/>
      <c r="H106" s="188"/>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78" t="s">
        <v>63</v>
      </c>
      <c r="B122" s="179"/>
      <c r="C122" s="179"/>
      <c r="D122" s="96">
        <f>SUM(Fence_49[Amount])</f>
        <v>0</v>
      </c>
      <c r="E122" s="34"/>
      <c r="F122" s="173" t="s">
        <v>33</v>
      </c>
      <c r="G122" s="174"/>
      <c r="H122" s="174"/>
    </row>
    <row r="123" spans="1:8" x14ac:dyDescent="0.3">
      <c r="F123" s="173"/>
      <c r="G123" s="174"/>
      <c r="H123" s="174"/>
    </row>
    <row r="124" spans="1:8" ht="17.399999999999999" x14ac:dyDescent="0.3">
      <c r="A124" s="191" t="s">
        <v>26</v>
      </c>
      <c r="B124" s="192"/>
      <c r="C124" s="192"/>
      <c r="D124" s="193"/>
      <c r="E124" s="17"/>
      <c r="F124" s="183" t="s">
        <v>11</v>
      </c>
      <c r="G124" s="184"/>
      <c r="H124" s="185"/>
    </row>
    <row r="125" spans="1:8" x14ac:dyDescent="0.3">
      <c r="A125" s="21" t="s">
        <v>21</v>
      </c>
      <c r="B125" s="22" t="s">
        <v>22</v>
      </c>
      <c r="C125" s="22" t="s">
        <v>23</v>
      </c>
      <c r="D125" s="23" t="s">
        <v>25</v>
      </c>
      <c r="E125" s="41"/>
      <c r="F125" s="186"/>
      <c r="G125" s="187"/>
      <c r="H125" s="188"/>
    </row>
    <row r="126" spans="1:8" x14ac:dyDescent="0.3">
      <c r="A126" s="100"/>
      <c r="B126" s="101"/>
      <c r="C126" s="101"/>
      <c r="D126" s="112">
        <v>50510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78" t="s">
        <v>27</v>
      </c>
      <c r="B141" s="179"/>
      <c r="C141" s="179"/>
      <c r="D141" s="96">
        <f>SUM(Demolition_49[Amount])</f>
        <v>50510</v>
      </c>
      <c r="E141" s="34"/>
      <c r="F141" s="173" t="s">
        <v>33</v>
      </c>
      <c r="G141" s="174"/>
      <c r="H141" s="174"/>
    </row>
    <row r="142" spans="1:8" x14ac:dyDescent="0.3">
      <c r="A142" s="38"/>
      <c r="B142" s="38"/>
      <c r="C142" s="38"/>
      <c r="D142" s="39"/>
      <c r="E142" s="40"/>
      <c r="F142" s="173"/>
      <c r="G142" s="174"/>
      <c r="H142" s="174"/>
    </row>
    <row r="143" spans="1:8" ht="17.399999999999999" x14ac:dyDescent="0.3">
      <c r="A143" s="191" t="s">
        <v>64</v>
      </c>
      <c r="B143" s="192"/>
      <c r="C143" s="192"/>
      <c r="D143" s="193"/>
      <c r="E143" s="17"/>
      <c r="F143" s="183" t="s">
        <v>44</v>
      </c>
      <c r="G143" s="184"/>
      <c r="H143" s="185"/>
    </row>
    <row r="144" spans="1:8" x14ac:dyDescent="0.3">
      <c r="A144" s="21" t="s">
        <v>21</v>
      </c>
      <c r="B144" s="22" t="s">
        <v>22</v>
      </c>
      <c r="C144" s="22" t="s">
        <v>23</v>
      </c>
      <c r="D144" s="23" t="s">
        <v>25</v>
      </c>
      <c r="E144" s="41"/>
      <c r="F144" s="186"/>
      <c r="G144" s="187"/>
      <c r="H144" s="188"/>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78" t="s">
        <v>65</v>
      </c>
      <c r="B160" s="179"/>
      <c r="C160" s="179"/>
      <c r="D160" s="96">
        <f>SUM(Rehab_49[Amount])</f>
        <v>0</v>
      </c>
      <c r="E160" s="34"/>
      <c r="F160" s="173" t="s">
        <v>33</v>
      </c>
      <c r="G160" s="174"/>
      <c r="H160" s="174"/>
    </row>
    <row r="161" spans="6:8" x14ac:dyDescent="0.3">
      <c r="F161" s="173"/>
      <c r="G161" s="174"/>
      <c r="H161" s="174"/>
    </row>
  </sheetData>
  <sheetProtection algorithmName="SHA-512" hashValue="duBFNw4xV/nK78UjLPr11rtNWgsj2P+K9EPuQAX6NEfsCYbrlXWTLIEMoXJPf6EFJLAaR1eDcxjXkUigngxifA==" saltValue="JZeBzAK9v6hbJ+0sylv0og=="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N161"/>
  <sheetViews>
    <sheetView showGridLines="0" zoomScaleNormal="100" workbookViewId="0">
      <pane ySplit="9" topLeftCell="A118"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5" t="s">
        <v>24</v>
      </c>
      <c r="B1" s="175"/>
      <c r="C1" s="175"/>
      <c r="D1" s="175"/>
      <c r="E1" s="1"/>
      <c r="F1" s="2"/>
      <c r="G1" s="2"/>
      <c r="H1" s="1"/>
    </row>
    <row r="2" spans="1:14" ht="24.9" customHeight="1" x14ac:dyDescent="0.3">
      <c r="A2" s="176" t="s">
        <v>71</v>
      </c>
      <c r="B2" s="176"/>
      <c r="C2" s="176"/>
      <c r="D2" s="176"/>
      <c r="E2" s="4"/>
      <c r="F2" s="120"/>
      <c r="G2" s="120"/>
      <c r="H2" s="5"/>
    </row>
    <row r="3" spans="1:14" ht="31.5" customHeight="1" x14ac:dyDescent="0.3">
      <c r="A3" s="176"/>
      <c r="B3" s="176"/>
      <c r="C3" s="176"/>
      <c r="D3" s="176"/>
      <c r="E3" s="4"/>
      <c r="F3" s="120"/>
      <c r="G3" s="120"/>
      <c r="H3" s="5"/>
    </row>
    <row r="4" spans="1:14" ht="15" customHeight="1" x14ac:dyDescent="0.25">
      <c r="A4" s="75" t="s">
        <v>19</v>
      </c>
      <c r="B4" s="194" t="str">
        <f>IF('Summary Sheet'!B82="","",'Summary Sheet'!B82)</f>
        <v>20 E 117TH ST</v>
      </c>
      <c r="C4" s="194"/>
      <c r="D4" s="120"/>
      <c r="E4" s="4"/>
      <c r="F4" s="120"/>
      <c r="G4" s="120"/>
      <c r="H4" s="5"/>
    </row>
    <row r="5" spans="1:14" ht="15" customHeight="1" x14ac:dyDescent="0.25">
      <c r="A5" s="75" t="s">
        <v>20</v>
      </c>
      <c r="B5" s="195" t="str">
        <f>IF('Summary Sheet'!C82="","",'Summary Sheet'!C82)</f>
        <v/>
      </c>
      <c r="C5" s="195"/>
      <c r="D5" s="120"/>
      <c r="E5" s="4"/>
      <c r="F5" s="120"/>
      <c r="G5" s="120"/>
      <c r="H5" s="5"/>
    </row>
    <row r="6" spans="1:14" ht="15" customHeight="1" x14ac:dyDescent="0.25">
      <c r="A6" s="75" t="s">
        <v>36</v>
      </c>
      <c r="B6" s="177"/>
      <c r="C6" s="177"/>
      <c r="D6" s="6"/>
      <c r="E6" s="7"/>
    </row>
    <row r="7" spans="1:14" ht="15" customHeight="1" x14ac:dyDescent="0.25">
      <c r="A7" s="7"/>
      <c r="B7" s="196" t="s">
        <v>34</v>
      </c>
      <c r="C7" s="196"/>
      <c r="D7" s="10"/>
    </row>
    <row r="8" spans="1:14" ht="20.100000000000001" customHeight="1" x14ac:dyDescent="0.25">
      <c r="B8" s="11"/>
      <c r="C8" s="11"/>
      <c r="D8" s="12" t="s">
        <v>31</v>
      </c>
      <c r="F8" s="180" t="s">
        <v>32</v>
      </c>
      <c r="G8" s="181"/>
      <c r="H8" s="182"/>
    </row>
    <row r="9" spans="1:14" s="14" customFormat="1" ht="20.100000000000001" customHeight="1" x14ac:dyDescent="0.25">
      <c r="A9" s="197"/>
      <c r="B9" s="197"/>
      <c r="C9" s="197"/>
      <c r="D9" s="13">
        <f>SUM(D27,D46,D65,D84,D103,D122,D141,D160)</f>
        <v>25860</v>
      </c>
      <c r="F9" s="15" t="s">
        <v>28</v>
      </c>
      <c r="G9" s="15" t="s">
        <v>29</v>
      </c>
      <c r="H9" s="15" t="s">
        <v>30</v>
      </c>
      <c r="I9" s="16"/>
      <c r="J9" s="16"/>
      <c r="K9" s="16"/>
      <c r="L9" s="16"/>
      <c r="M9" s="16"/>
      <c r="N9" s="16"/>
    </row>
    <row r="10" spans="1:14" s="17" customFormat="1" ht="23.1" customHeight="1" x14ac:dyDescent="0.3">
      <c r="A10" s="198" t="s">
        <v>51</v>
      </c>
      <c r="B10" s="198"/>
      <c r="C10" s="198"/>
      <c r="D10" s="198"/>
      <c r="F10" s="183" t="s">
        <v>66</v>
      </c>
      <c r="G10" s="184"/>
      <c r="H10" s="185"/>
      <c r="I10" s="18"/>
      <c r="J10" s="18"/>
      <c r="K10" s="18"/>
      <c r="L10" s="18"/>
      <c r="M10" s="19"/>
      <c r="N10" s="20"/>
    </row>
    <row r="11" spans="1:14" s="24" customFormat="1" ht="12.75" customHeight="1" x14ac:dyDescent="0.25">
      <c r="A11" s="21" t="s">
        <v>21</v>
      </c>
      <c r="B11" s="22" t="s">
        <v>22</v>
      </c>
      <c r="C11" s="22" t="s">
        <v>23</v>
      </c>
      <c r="D11" s="23" t="s">
        <v>25</v>
      </c>
      <c r="F11" s="186"/>
      <c r="G11" s="187"/>
      <c r="H11" s="188"/>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78" t="s">
        <v>53</v>
      </c>
      <c r="B27" s="179"/>
      <c r="C27" s="179"/>
      <c r="D27" s="96">
        <f>SUM(Grass_50[Amount])</f>
        <v>0</v>
      </c>
      <c r="F27" s="173" t="s">
        <v>33</v>
      </c>
      <c r="G27" s="174"/>
      <c r="H27" s="174"/>
      <c r="I27" s="35"/>
      <c r="J27" s="35"/>
      <c r="K27" s="35"/>
      <c r="L27" s="35"/>
      <c r="M27" s="36"/>
      <c r="N27" s="37"/>
    </row>
    <row r="28" spans="1:14" s="40" customFormat="1" ht="11.1" customHeight="1" x14ac:dyDescent="0.3">
      <c r="A28" s="38"/>
      <c r="B28" s="38"/>
      <c r="C28" s="38"/>
      <c r="D28" s="39"/>
      <c r="F28" s="173"/>
      <c r="G28" s="174"/>
      <c r="H28" s="174"/>
      <c r="I28" s="35"/>
      <c r="J28" s="35"/>
      <c r="K28" s="35"/>
      <c r="L28" s="35"/>
      <c r="M28" s="36"/>
      <c r="N28" s="37"/>
    </row>
    <row r="29" spans="1:14" s="17" customFormat="1" ht="23.1" customHeight="1" x14ac:dyDescent="0.3">
      <c r="A29" s="191" t="s">
        <v>67</v>
      </c>
      <c r="B29" s="192"/>
      <c r="C29" s="192"/>
      <c r="D29" s="193"/>
      <c r="F29" s="183" t="s">
        <v>52</v>
      </c>
      <c r="G29" s="184"/>
      <c r="H29" s="185"/>
      <c r="I29" s="18"/>
      <c r="J29" s="18"/>
      <c r="K29" s="18"/>
      <c r="L29" s="18"/>
      <c r="M29" s="19"/>
      <c r="N29" s="20"/>
    </row>
    <row r="30" spans="1:14" s="41" customFormat="1" ht="12.75" customHeight="1" x14ac:dyDescent="0.25">
      <c r="A30" s="21" t="s">
        <v>21</v>
      </c>
      <c r="B30" s="22" t="s">
        <v>22</v>
      </c>
      <c r="C30" s="22" t="s">
        <v>23</v>
      </c>
      <c r="D30" s="23" t="s">
        <v>25</v>
      </c>
      <c r="F30" s="186"/>
      <c r="G30" s="187"/>
      <c r="H30" s="188"/>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19"/>
      <c r="J44" s="29"/>
      <c r="K44" s="29"/>
      <c r="L44" s="119"/>
      <c r="M44" s="30"/>
      <c r="N44" s="16"/>
    </row>
    <row r="45" spans="1:14" x14ac:dyDescent="0.3">
      <c r="A45" s="106"/>
      <c r="B45" s="107"/>
      <c r="C45" s="107"/>
      <c r="D45" s="114"/>
      <c r="F45" s="103"/>
      <c r="G45" s="104"/>
      <c r="H45" s="109"/>
      <c r="I45" s="119"/>
      <c r="J45" s="29"/>
      <c r="K45" s="29"/>
      <c r="L45" s="119"/>
      <c r="M45" s="30"/>
      <c r="N45" s="16"/>
    </row>
    <row r="46" spans="1:14" s="34" customFormat="1" x14ac:dyDescent="0.3">
      <c r="A46" s="178" t="s">
        <v>54</v>
      </c>
      <c r="B46" s="179"/>
      <c r="C46" s="179"/>
      <c r="D46" s="96">
        <f>SUM(Tree_50[Amount])</f>
        <v>0</v>
      </c>
      <c r="F46" s="173" t="s">
        <v>33</v>
      </c>
      <c r="G46" s="174"/>
      <c r="H46" s="174"/>
      <c r="I46" s="43"/>
      <c r="J46" s="43"/>
      <c r="K46" s="43"/>
      <c r="L46" s="43"/>
      <c r="M46" s="36"/>
      <c r="N46" s="37"/>
    </row>
    <row r="47" spans="1:14" s="40" customFormat="1" ht="11.1" customHeight="1" x14ac:dyDescent="0.3">
      <c r="A47" s="38"/>
      <c r="B47" s="38"/>
      <c r="C47" s="38"/>
      <c r="D47" s="39"/>
      <c r="F47" s="173"/>
      <c r="G47" s="174"/>
      <c r="H47" s="174"/>
      <c r="I47" s="43"/>
      <c r="J47" s="43"/>
      <c r="K47" s="43"/>
      <c r="L47" s="43"/>
      <c r="M47" s="36"/>
      <c r="N47" s="37"/>
    </row>
    <row r="48" spans="1:14" s="17" customFormat="1" ht="23.1" customHeight="1" x14ac:dyDescent="0.3">
      <c r="A48" s="191" t="s">
        <v>68</v>
      </c>
      <c r="B48" s="192"/>
      <c r="C48" s="192"/>
      <c r="D48" s="193"/>
      <c r="F48" s="183" t="s">
        <v>55</v>
      </c>
      <c r="G48" s="184"/>
      <c r="H48" s="185"/>
      <c r="I48" s="44"/>
      <c r="J48" s="44"/>
      <c r="K48" s="44"/>
      <c r="L48" s="44"/>
      <c r="M48" s="19"/>
      <c r="N48" s="20"/>
    </row>
    <row r="49" spans="1:14" s="41" customFormat="1" ht="12.75" customHeight="1" x14ac:dyDescent="0.25">
      <c r="A49" s="21" t="s">
        <v>21</v>
      </c>
      <c r="B49" s="22" t="s">
        <v>22</v>
      </c>
      <c r="C49" s="22" t="s">
        <v>23</v>
      </c>
      <c r="D49" s="23" t="s">
        <v>25</v>
      </c>
      <c r="F49" s="186"/>
      <c r="G49" s="187"/>
      <c r="H49" s="188"/>
      <c r="I49" s="119"/>
      <c r="J49" s="119"/>
      <c r="K49" s="119"/>
      <c r="L49" s="119"/>
      <c r="M49" s="30"/>
      <c r="N49" s="42"/>
    </row>
    <row r="50" spans="1:14" x14ac:dyDescent="0.3">
      <c r="A50" s="100"/>
      <c r="B50" s="101"/>
      <c r="C50" s="101"/>
      <c r="D50" s="112"/>
      <c r="F50" s="103"/>
      <c r="G50" s="104"/>
      <c r="H50" s="109"/>
      <c r="I50" s="119"/>
      <c r="J50" s="119"/>
      <c r="K50" s="119"/>
      <c r="L50" s="119"/>
      <c r="M50" s="30"/>
      <c r="N50" s="16"/>
    </row>
    <row r="51" spans="1:14" x14ac:dyDescent="0.3">
      <c r="A51" s="106"/>
      <c r="B51" s="107"/>
      <c r="C51" s="107"/>
      <c r="D51" s="113"/>
      <c r="F51" s="103"/>
      <c r="G51" s="104"/>
      <c r="H51" s="109"/>
      <c r="I51" s="119"/>
      <c r="J51" s="119"/>
      <c r="K51" s="119"/>
      <c r="L51" s="119"/>
      <c r="M51" s="30"/>
      <c r="N51" s="16"/>
    </row>
    <row r="52" spans="1:14" x14ac:dyDescent="0.3">
      <c r="A52" s="106"/>
      <c r="B52" s="107"/>
      <c r="C52" s="107"/>
      <c r="D52" s="114"/>
      <c r="F52" s="103"/>
      <c r="H52" s="109"/>
      <c r="I52" s="119"/>
      <c r="J52" s="119"/>
      <c r="K52" s="119"/>
      <c r="L52" s="119"/>
      <c r="M52" s="30"/>
      <c r="N52" s="16"/>
    </row>
    <row r="53" spans="1:14" x14ac:dyDescent="0.3">
      <c r="A53" s="106"/>
      <c r="B53" s="107"/>
      <c r="C53" s="107"/>
      <c r="D53" s="113"/>
      <c r="F53" s="103"/>
      <c r="G53" s="104"/>
      <c r="H53" s="109"/>
      <c r="I53" s="119"/>
      <c r="J53" s="119"/>
      <c r="K53" s="119"/>
      <c r="L53" s="119"/>
      <c r="M53" s="30"/>
      <c r="N53" s="16"/>
    </row>
    <row r="54" spans="1:14" x14ac:dyDescent="0.3">
      <c r="A54" s="106"/>
      <c r="B54" s="107"/>
      <c r="C54" s="107"/>
      <c r="D54" s="114"/>
      <c r="F54" s="103"/>
      <c r="G54" s="104"/>
      <c r="H54" s="109"/>
      <c r="I54" s="119"/>
      <c r="J54" s="119"/>
      <c r="K54" s="119"/>
      <c r="L54" s="119"/>
      <c r="M54" s="30"/>
      <c r="N54" s="16"/>
    </row>
    <row r="55" spans="1:14" x14ac:dyDescent="0.3">
      <c r="A55" s="106"/>
      <c r="B55" s="107"/>
      <c r="C55" s="107"/>
      <c r="D55" s="113"/>
      <c r="F55" s="103"/>
      <c r="G55" s="104"/>
      <c r="H55" s="109"/>
      <c r="I55" s="119"/>
      <c r="J55" s="119"/>
      <c r="K55" s="119"/>
      <c r="L55" s="119"/>
      <c r="M55" s="30"/>
      <c r="N55" s="16"/>
    </row>
    <row r="56" spans="1:14" x14ac:dyDescent="0.3">
      <c r="A56" s="106"/>
      <c r="B56" s="107"/>
      <c r="C56" s="107"/>
      <c r="D56" s="114"/>
      <c r="F56" s="103"/>
      <c r="G56" s="104"/>
      <c r="H56" s="109"/>
      <c r="I56" s="119"/>
      <c r="J56" s="119"/>
      <c r="K56" s="119"/>
      <c r="L56" s="119"/>
      <c r="M56" s="30"/>
      <c r="N56" s="16"/>
    </row>
    <row r="57" spans="1:14" x14ac:dyDescent="0.3">
      <c r="A57" s="106"/>
      <c r="B57" s="107"/>
      <c r="C57" s="107"/>
      <c r="D57" s="113"/>
      <c r="F57" s="103"/>
      <c r="G57" s="104"/>
      <c r="H57" s="109"/>
      <c r="I57" s="119"/>
      <c r="J57" s="119"/>
      <c r="K57" s="119"/>
      <c r="L57" s="119"/>
      <c r="M57" s="30"/>
      <c r="N57" s="16"/>
    </row>
    <row r="58" spans="1:14" x14ac:dyDescent="0.3">
      <c r="A58" s="106"/>
      <c r="B58" s="107"/>
      <c r="C58" s="107"/>
      <c r="D58" s="114"/>
      <c r="F58" s="103"/>
      <c r="G58" s="104"/>
      <c r="H58" s="109"/>
      <c r="I58" s="119"/>
      <c r="J58" s="119"/>
      <c r="K58" s="119"/>
      <c r="L58" s="119"/>
      <c r="M58" s="30"/>
      <c r="N58" s="16"/>
    </row>
    <row r="59" spans="1:14" x14ac:dyDescent="0.3">
      <c r="A59" s="106"/>
      <c r="B59" s="107"/>
      <c r="C59" s="107"/>
      <c r="D59" s="113"/>
      <c r="F59" s="103"/>
      <c r="G59" s="104"/>
      <c r="H59" s="109"/>
      <c r="I59" s="119"/>
      <c r="J59" s="190"/>
      <c r="K59" s="190"/>
      <c r="L59" s="119"/>
      <c r="M59" s="30"/>
      <c r="N59" s="16"/>
    </row>
    <row r="60" spans="1:14" x14ac:dyDescent="0.3">
      <c r="A60" s="106"/>
      <c r="B60" s="107"/>
      <c r="C60" s="107"/>
      <c r="D60" s="114"/>
      <c r="F60" s="103"/>
      <c r="G60" s="104"/>
      <c r="H60" s="109"/>
      <c r="I60" s="189"/>
      <c r="J60" s="189"/>
      <c r="K60" s="189"/>
      <c r="L60" s="189"/>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78" t="s">
        <v>56</v>
      </c>
      <c r="B65" s="179"/>
      <c r="C65" s="179"/>
      <c r="D65" s="96">
        <f>SUM(Pest_50[Amount])</f>
        <v>0</v>
      </c>
      <c r="F65" s="173" t="s">
        <v>33</v>
      </c>
      <c r="G65" s="174"/>
      <c r="H65" s="174"/>
    </row>
    <row r="66" spans="1:8" x14ac:dyDescent="0.3">
      <c r="F66" s="173"/>
      <c r="G66" s="174"/>
      <c r="H66" s="174"/>
    </row>
    <row r="67" spans="1:8" ht="17.399999999999999" x14ac:dyDescent="0.3">
      <c r="A67" s="198" t="s">
        <v>69</v>
      </c>
      <c r="B67" s="198"/>
      <c r="C67" s="198"/>
      <c r="D67" s="198"/>
      <c r="E67" s="17"/>
      <c r="F67" s="183" t="s">
        <v>57</v>
      </c>
      <c r="G67" s="184"/>
      <c r="H67" s="185"/>
    </row>
    <row r="68" spans="1:8" x14ac:dyDescent="0.3">
      <c r="A68" s="21" t="s">
        <v>21</v>
      </c>
      <c r="B68" s="22" t="s">
        <v>22</v>
      </c>
      <c r="C68" s="22" t="s">
        <v>23</v>
      </c>
      <c r="D68" s="23" t="s">
        <v>25</v>
      </c>
      <c r="E68" s="24"/>
      <c r="F68" s="186"/>
      <c r="G68" s="187"/>
      <c r="H68" s="188"/>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78" t="s">
        <v>58</v>
      </c>
      <c r="B84" s="179"/>
      <c r="C84" s="179"/>
      <c r="D84" s="96">
        <f>SUM(Garbage_50[Amount])</f>
        <v>0</v>
      </c>
      <c r="E84" s="34"/>
      <c r="F84" s="173" t="s">
        <v>33</v>
      </c>
      <c r="G84" s="174"/>
      <c r="H84" s="174"/>
    </row>
    <row r="85" spans="1:8" x14ac:dyDescent="0.3">
      <c r="A85" s="38"/>
      <c r="B85" s="38"/>
      <c r="C85" s="38"/>
      <c r="D85" s="39"/>
      <c r="E85" s="40"/>
      <c r="F85" s="173"/>
      <c r="G85" s="174"/>
      <c r="H85" s="174"/>
    </row>
    <row r="86" spans="1:8" ht="17.399999999999999" x14ac:dyDescent="0.3">
      <c r="A86" s="191" t="s">
        <v>59</v>
      </c>
      <c r="B86" s="192"/>
      <c r="C86" s="192"/>
      <c r="D86" s="193"/>
      <c r="E86" s="17"/>
      <c r="F86" s="183" t="s">
        <v>60</v>
      </c>
      <c r="G86" s="184"/>
      <c r="H86" s="185"/>
    </row>
    <row r="87" spans="1:8" x14ac:dyDescent="0.3">
      <c r="A87" s="21" t="s">
        <v>21</v>
      </c>
      <c r="B87" s="22" t="s">
        <v>22</v>
      </c>
      <c r="C87" s="22" t="s">
        <v>23</v>
      </c>
      <c r="D87" s="23" t="s">
        <v>25</v>
      </c>
      <c r="E87" s="41"/>
      <c r="F87" s="186"/>
      <c r="G87" s="187"/>
      <c r="H87" s="188"/>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78" t="s">
        <v>61</v>
      </c>
      <c r="B103" s="179"/>
      <c r="C103" s="179"/>
      <c r="D103" s="96">
        <f>SUM(Boarding_50[Amount])</f>
        <v>0</v>
      </c>
      <c r="E103" s="34"/>
      <c r="F103" s="173" t="s">
        <v>33</v>
      </c>
      <c r="G103" s="174"/>
      <c r="H103" s="174"/>
    </row>
    <row r="104" spans="1:8" x14ac:dyDescent="0.3">
      <c r="A104" s="38"/>
      <c r="B104" s="38"/>
      <c r="C104" s="38"/>
      <c r="D104" s="39"/>
      <c r="E104" s="40"/>
      <c r="F104" s="173"/>
      <c r="G104" s="174"/>
      <c r="H104" s="174"/>
    </row>
    <row r="105" spans="1:8" ht="17.399999999999999" x14ac:dyDescent="0.3">
      <c r="A105" s="191" t="s">
        <v>70</v>
      </c>
      <c r="B105" s="192"/>
      <c r="C105" s="192"/>
      <c r="D105" s="193"/>
      <c r="E105" s="17"/>
      <c r="F105" s="183" t="s">
        <v>62</v>
      </c>
      <c r="G105" s="184"/>
      <c r="H105" s="185"/>
    </row>
    <row r="106" spans="1:8" x14ac:dyDescent="0.3">
      <c r="A106" s="21" t="s">
        <v>21</v>
      </c>
      <c r="B106" s="22" t="s">
        <v>22</v>
      </c>
      <c r="C106" s="22" t="s">
        <v>23</v>
      </c>
      <c r="D106" s="23" t="s">
        <v>25</v>
      </c>
      <c r="E106" s="41"/>
      <c r="F106" s="186"/>
      <c r="G106" s="187"/>
      <c r="H106" s="188"/>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78" t="s">
        <v>63</v>
      </c>
      <c r="B122" s="179"/>
      <c r="C122" s="179"/>
      <c r="D122" s="96">
        <f>SUM(Fence_50[Amount])</f>
        <v>0</v>
      </c>
      <c r="E122" s="34"/>
      <c r="F122" s="173" t="s">
        <v>33</v>
      </c>
      <c r="G122" s="174"/>
      <c r="H122" s="174"/>
    </row>
    <row r="123" spans="1:8" x14ac:dyDescent="0.3">
      <c r="F123" s="173"/>
      <c r="G123" s="174"/>
      <c r="H123" s="174"/>
    </row>
    <row r="124" spans="1:8" ht="17.399999999999999" x14ac:dyDescent="0.3">
      <c r="A124" s="191" t="s">
        <v>26</v>
      </c>
      <c r="B124" s="192"/>
      <c r="C124" s="192"/>
      <c r="D124" s="193"/>
      <c r="E124" s="17"/>
      <c r="F124" s="183" t="s">
        <v>11</v>
      </c>
      <c r="G124" s="184"/>
      <c r="H124" s="185"/>
    </row>
    <row r="125" spans="1:8" x14ac:dyDescent="0.3">
      <c r="A125" s="21" t="s">
        <v>21</v>
      </c>
      <c r="B125" s="22" t="s">
        <v>22</v>
      </c>
      <c r="C125" s="22" t="s">
        <v>23</v>
      </c>
      <c r="D125" s="23" t="s">
        <v>25</v>
      </c>
      <c r="E125" s="41"/>
      <c r="F125" s="186"/>
      <c r="G125" s="187"/>
      <c r="H125" s="188"/>
    </row>
    <row r="126" spans="1:8" x14ac:dyDescent="0.3">
      <c r="A126" s="100"/>
      <c r="B126" s="101"/>
      <c r="C126" s="101"/>
      <c r="D126" s="112">
        <v>25860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78" t="s">
        <v>27</v>
      </c>
      <c r="B141" s="179"/>
      <c r="C141" s="179"/>
      <c r="D141" s="96">
        <f>SUM(Demolition_50[Amount])</f>
        <v>25860</v>
      </c>
      <c r="E141" s="34"/>
      <c r="F141" s="173" t="s">
        <v>33</v>
      </c>
      <c r="G141" s="174"/>
      <c r="H141" s="174"/>
    </row>
    <row r="142" spans="1:8" x14ac:dyDescent="0.3">
      <c r="A142" s="38"/>
      <c r="B142" s="38"/>
      <c r="C142" s="38"/>
      <c r="D142" s="39"/>
      <c r="E142" s="40"/>
      <c r="F142" s="173"/>
      <c r="G142" s="174"/>
      <c r="H142" s="174"/>
    </row>
    <row r="143" spans="1:8" ht="17.399999999999999" x14ac:dyDescent="0.3">
      <c r="A143" s="191" t="s">
        <v>64</v>
      </c>
      <c r="B143" s="192"/>
      <c r="C143" s="192"/>
      <c r="D143" s="193"/>
      <c r="E143" s="17"/>
      <c r="F143" s="183" t="s">
        <v>44</v>
      </c>
      <c r="G143" s="184"/>
      <c r="H143" s="185"/>
    </row>
    <row r="144" spans="1:8" x14ac:dyDescent="0.3">
      <c r="A144" s="21" t="s">
        <v>21</v>
      </c>
      <c r="B144" s="22" t="s">
        <v>22</v>
      </c>
      <c r="C144" s="22" t="s">
        <v>23</v>
      </c>
      <c r="D144" s="23" t="s">
        <v>25</v>
      </c>
      <c r="E144" s="41"/>
      <c r="F144" s="186"/>
      <c r="G144" s="187"/>
      <c r="H144" s="188"/>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78" t="s">
        <v>65</v>
      </c>
      <c r="B160" s="179"/>
      <c r="C160" s="179"/>
      <c r="D160" s="96">
        <f>SUM(Rehab_50[Amount])</f>
        <v>0</v>
      </c>
      <c r="E160" s="34"/>
      <c r="F160" s="173" t="s">
        <v>33</v>
      </c>
      <c r="G160" s="174"/>
      <c r="H160" s="174"/>
    </row>
    <row r="161" spans="6:8" x14ac:dyDescent="0.3">
      <c r="F161" s="173"/>
      <c r="G161" s="174"/>
      <c r="H161" s="174"/>
    </row>
  </sheetData>
  <sheetProtection algorithmName="SHA-512" hashValue="wXqev18orIWsEBwdifH0ftW4SiEa+z9F/fb8edOwbbaencvcaz6d45lM4LKo465LOlcKOh76ZmfKlcwf79SgdA==" saltValue="fCZn8a+SMNbHa9lPtFNm0g=="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N161"/>
  <sheetViews>
    <sheetView showGridLines="0" zoomScaleNormal="100" workbookViewId="0">
      <pane ySplit="9" topLeftCell="A121"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5" t="s">
        <v>24</v>
      </c>
      <c r="B1" s="175"/>
      <c r="C1" s="175"/>
      <c r="D1" s="175"/>
      <c r="E1" s="1"/>
      <c r="F1" s="2"/>
      <c r="G1" s="2"/>
      <c r="H1" s="1"/>
    </row>
    <row r="2" spans="1:14" ht="24.9" customHeight="1" x14ac:dyDescent="0.3">
      <c r="A2" s="176" t="s">
        <v>71</v>
      </c>
      <c r="B2" s="176"/>
      <c r="C2" s="176"/>
      <c r="D2" s="176"/>
      <c r="E2" s="4"/>
      <c r="F2" s="120"/>
      <c r="G2" s="120"/>
      <c r="H2" s="5"/>
    </row>
    <row r="3" spans="1:14" ht="31.5" customHeight="1" x14ac:dyDescent="0.3">
      <c r="A3" s="176"/>
      <c r="B3" s="176"/>
      <c r="C3" s="176"/>
      <c r="D3" s="176"/>
      <c r="E3" s="4"/>
      <c r="F3" s="120"/>
      <c r="G3" s="120"/>
      <c r="H3" s="5"/>
    </row>
    <row r="4" spans="1:14" ht="15" customHeight="1" x14ac:dyDescent="0.25">
      <c r="A4" s="75" t="s">
        <v>19</v>
      </c>
      <c r="B4" s="194" t="str">
        <f>IF('Summary Sheet'!B83="","",'Summary Sheet'!B83)</f>
        <v>2132 S ALBANY AVE</v>
      </c>
      <c r="C4" s="194"/>
      <c r="D4" s="120"/>
      <c r="E4" s="4"/>
      <c r="F4" s="120"/>
      <c r="G4" s="120"/>
      <c r="H4" s="5"/>
    </row>
    <row r="5" spans="1:14" ht="15" customHeight="1" x14ac:dyDescent="0.25">
      <c r="A5" s="75" t="s">
        <v>20</v>
      </c>
      <c r="B5" s="195" t="str">
        <f>IF('Summary Sheet'!C83="","",'Summary Sheet'!C83)</f>
        <v/>
      </c>
      <c r="C5" s="195"/>
      <c r="D5" s="120"/>
      <c r="E5" s="4"/>
      <c r="F5" s="120"/>
      <c r="G5" s="120"/>
      <c r="H5" s="5"/>
    </row>
    <row r="6" spans="1:14" ht="15" customHeight="1" x14ac:dyDescent="0.25">
      <c r="A6" s="75" t="s">
        <v>36</v>
      </c>
      <c r="B6" s="177"/>
      <c r="C6" s="177"/>
      <c r="D6" s="6"/>
      <c r="E6" s="7"/>
    </row>
    <row r="7" spans="1:14" ht="15" customHeight="1" x14ac:dyDescent="0.25">
      <c r="A7" s="7"/>
      <c r="B7" s="196" t="s">
        <v>34</v>
      </c>
      <c r="C7" s="196"/>
      <c r="D7" s="10"/>
    </row>
    <row r="8" spans="1:14" ht="20.100000000000001" customHeight="1" x14ac:dyDescent="0.25">
      <c r="B8" s="11"/>
      <c r="C8" s="11"/>
      <c r="D8" s="12" t="s">
        <v>31</v>
      </c>
      <c r="F8" s="180" t="s">
        <v>32</v>
      </c>
      <c r="G8" s="181"/>
      <c r="H8" s="182"/>
    </row>
    <row r="9" spans="1:14" s="14" customFormat="1" ht="20.100000000000001" customHeight="1" x14ac:dyDescent="0.25">
      <c r="A9" s="197"/>
      <c r="B9" s="197"/>
      <c r="C9" s="197"/>
      <c r="D9" s="13">
        <f>SUM(D27,D46,D65,D84,D103,D122,D141,D160)</f>
        <v>26210</v>
      </c>
      <c r="F9" s="15" t="s">
        <v>28</v>
      </c>
      <c r="G9" s="15" t="s">
        <v>29</v>
      </c>
      <c r="H9" s="15" t="s">
        <v>30</v>
      </c>
      <c r="I9" s="16"/>
      <c r="J9" s="16"/>
      <c r="K9" s="16"/>
      <c r="L9" s="16"/>
      <c r="M9" s="16"/>
      <c r="N9" s="16"/>
    </row>
    <row r="10" spans="1:14" s="17" customFormat="1" ht="23.1" customHeight="1" x14ac:dyDescent="0.3">
      <c r="A10" s="198" t="s">
        <v>51</v>
      </c>
      <c r="B10" s="198"/>
      <c r="C10" s="198"/>
      <c r="D10" s="198"/>
      <c r="F10" s="183" t="s">
        <v>66</v>
      </c>
      <c r="G10" s="184"/>
      <c r="H10" s="185"/>
      <c r="I10" s="18"/>
      <c r="J10" s="18"/>
      <c r="K10" s="18"/>
      <c r="L10" s="18"/>
      <c r="M10" s="19"/>
      <c r="N10" s="20"/>
    </row>
    <row r="11" spans="1:14" s="24" customFormat="1" ht="12.75" customHeight="1" x14ac:dyDescent="0.25">
      <c r="A11" s="21" t="s">
        <v>21</v>
      </c>
      <c r="B11" s="22" t="s">
        <v>22</v>
      </c>
      <c r="C11" s="22" t="s">
        <v>23</v>
      </c>
      <c r="D11" s="23" t="s">
        <v>25</v>
      </c>
      <c r="F11" s="186"/>
      <c r="G11" s="187"/>
      <c r="H11" s="188"/>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78" t="s">
        <v>53</v>
      </c>
      <c r="B27" s="179"/>
      <c r="C27" s="179"/>
      <c r="D27" s="96">
        <f>SUM(Grass_51[Amount])</f>
        <v>0</v>
      </c>
      <c r="F27" s="173" t="s">
        <v>33</v>
      </c>
      <c r="G27" s="174"/>
      <c r="H27" s="174"/>
      <c r="I27" s="35"/>
      <c r="J27" s="35"/>
      <c r="K27" s="35"/>
      <c r="L27" s="35"/>
      <c r="M27" s="36"/>
      <c r="N27" s="37"/>
    </row>
    <row r="28" spans="1:14" s="40" customFormat="1" ht="11.1" customHeight="1" x14ac:dyDescent="0.3">
      <c r="A28" s="38"/>
      <c r="B28" s="38"/>
      <c r="C28" s="38"/>
      <c r="D28" s="39"/>
      <c r="F28" s="173"/>
      <c r="G28" s="174"/>
      <c r="H28" s="174"/>
      <c r="I28" s="35"/>
      <c r="J28" s="35"/>
      <c r="K28" s="35"/>
      <c r="L28" s="35"/>
      <c r="M28" s="36"/>
      <c r="N28" s="37"/>
    </row>
    <row r="29" spans="1:14" s="17" customFormat="1" ht="23.1" customHeight="1" x14ac:dyDescent="0.3">
      <c r="A29" s="191" t="s">
        <v>67</v>
      </c>
      <c r="B29" s="192"/>
      <c r="C29" s="192"/>
      <c r="D29" s="193"/>
      <c r="F29" s="183" t="s">
        <v>52</v>
      </c>
      <c r="G29" s="184"/>
      <c r="H29" s="185"/>
      <c r="I29" s="18"/>
      <c r="J29" s="18"/>
      <c r="K29" s="18"/>
      <c r="L29" s="18"/>
      <c r="M29" s="19"/>
      <c r="N29" s="20"/>
    </row>
    <row r="30" spans="1:14" s="41" customFormat="1" ht="12.75" customHeight="1" x14ac:dyDescent="0.25">
      <c r="A30" s="21" t="s">
        <v>21</v>
      </c>
      <c r="B30" s="22" t="s">
        <v>22</v>
      </c>
      <c r="C30" s="22" t="s">
        <v>23</v>
      </c>
      <c r="D30" s="23" t="s">
        <v>25</v>
      </c>
      <c r="F30" s="186"/>
      <c r="G30" s="187"/>
      <c r="H30" s="188"/>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19"/>
      <c r="J44" s="29"/>
      <c r="K44" s="29"/>
      <c r="L44" s="119"/>
      <c r="M44" s="30"/>
      <c r="N44" s="16"/>
    </row>
    <row r="45" spans="1:14" x14ac:dyDescent="0.3">
      <c r="A45" s="106"/>
      <c r="B45" s="107"/>
      <c r="C45" s="107"/>
      <c r="D45" s="114"/>
      <c r="F45" s="103"/>
      <c r="G45" s="104"/>
      <c r="H45" s="109"/>
      <c r="I45" s="119"/>
      <c r="J45" s="29"/>
      <c r="K45" s="29"/>
      <c r="L45" s="119"/>
      <c r="M45" s="30"/>
      <c r="N45" s="16"/>
    </row>
    <row r="46" spans="1:14" s="34" customFormat="1" x14ac:dyDescent="0.3">
      <c r="A46" s="178" t="s">
        <v>54</v>
      </c>
      <c r="B46" s="179"/>
      <c r="C46" s="179"/>
      <c r="D46" s="96">
        <f>SUM(Tree_51[Amount])</f>
        <v>0</v>
      </c>
      <c r="F46" s="173" t="s">
        <v>33</v>
      </c>
      <c r="G46" s="174"/>
      <c r="H46" s="174"/>
      <c r="I46" s="43"/>
      <c r="J46" s="43"/>
      <c r="K46" s="43"/>
      <c r="L46" s="43"/>
      <c r="M46" s="36"/>
      <c r="N46" s="37"/>
    </row>
    <row r="47" spans="1:14" s="40" customFormat="1" ht="11.1" customHeight="1" x14ac:dyDescent="0.3">
      <c r="A47" s="38"/>
      <c r="B47" s="38"/>
      <c r="C47" s="38"/>
      <c r="D47" s="39"/>
      <c r="F47" s="173"/>
      <c r="G47" s="174"/>
      <c r="H47" s="174"/>
      <c r="I47" s="43"/>
      <c r="J47" s="43"/>
      <c r="K47" s="43"/>
      <c r="L47" s="43"/>
      <c r="M47" s="36"/>
      <c r="N47" s="37"/>
    </row>
    <row r="48" spans="1:14" s="17" customFormat="1" ht="23.1" customHeight="1" x14ac:dyDescent="0.3">
      <c r="A48" s="191" t="s">
        <v>68</v>
      </c>
      <c r="B48" s="192"/>
      <c r="C48" s="192"/>
      <c r="D48" s="193"/>
      <c r="F48" s="183" t="s">
        <v>55</v>
      </c>
      <c r="G48" s="184"/>
      <c r="H48" s="185"/>
      <c r="I48" s="44"/>
      <c r="J48" s="44"/>
      <c r="K48" s="44"/>
      <c r="L48" s="44"/>
      <c r="M48" s="19"/>
      <c r="N48" s="20"/>
    </row>
    <row r="49" spans="1:14" s="41" customFormat="1" ht="12.75" customHeight="1" x14ac:dyDescent="0.25">
      <c r="A49" s="21" t="s">
        <v>21</v>
      </c>
      <c r="B49" s="22" t="s">
        <v>22</v>
      </c>
      <c r="C49" s="22" t="s">
        <v>23</v>
      </c>
      <c r="D49" s="23" t="s">
        <v>25</v>
      </c>
      <c r="F49" s="186"/>
      <c r="G49" s="187"/>
      <c r="H49" s="188"/>
      <c r="I49" s="119"/>
      <c r="J49" s="119"/>
      <c r="K49" s="119"/>
      <c r="L49" s="119"/>
      <c r="M49" s="30"/>
      <c r="N49" s="42"/>
    </row>
    <row r="50" spans="1:14" x14ac:dyDescent="0.3">
      <c r="A50" s="100"/>
      <c r="B50" s="101"/>
      <c r="C50" s="101"/>
      <c r="D50" s="112"/>
      <c r="F50" s="103"/>
      <c r="G50" s="104"/>
      <c r="H50" s="109"/>
      <c r="I50" s="119"/>
      <c r="J50" s="119"/>
      <c r="K50" s="119"/>
      <c r="L50" s="119"/>
      <c r="M50" s="30"/>
      <c r="N50" s="16"/>
    </row>
    <row r="51" spans="1:14" x14ac:dyDescent="0.3">
      <c r="A51" s="106"/>
      <c r="B51" s="107"/>
      <c r="C51" s="107"/>
      <c r="D51" s="113"/>
      <c r="F51" s="103"/>
      <c r="G51" s="104"/>
      <c r="H51" s="109"/>
      <c r="I51" s="119"/>
      <c r="J51" s="119"/>
      <c r="K51" s="119"/>
      <c r="L51" s="119"/>
      <c r="M51" s="30"/>
      <c r="N51" s="16"/>
    </row>
    <row r="52" spans="1:14" x14ac:dyDescent="0.3">
      <c r="A52" s="106"/>
      <c r="B52" s="107"/>
      <c r="C52" s="107"/>
      <c r="D52" s="114"/>
      <c r="F52" s="103"/>
      <c r="H52" s="109"/>
      <c r="I52" s="119"/>
      <c r="J52" s="119"/>
      <c r="K52" s="119"/>
      <c r="L52" s="119"/>
      <c r="M52" s="30"/>
      <c r="N52" s="16"/>
    </row>
    <row r="53" spans="1:14" x14ac:dyDescent="0.3">
      <c r="A53" s="106"/>
      <c r="B53" s="107"/>
      <c r="C53" s="107"/>
      <c r="D53" s="113"/>
      <c r="F53" s="103"/>
      <c r="G53" s="104"/>
      <c r="H53" s="109"/>
      <c r="I53" s="119"/>
      <c r="J53" s="119"/>
      <c r="K53" s="119"/>
      <c r="L53" s="119"/>
      <c r="M53" s="30"/>
      <c r="N53" s="16"/>
    </row>
    <row r="54" spans="1:14" x14ac:dyDescent="0.3">
      <c r="A54" s="106"/>
      <c r="B54" s="107"/>
      <c r="C54" s="107"/>
      <c r="D54" s="114"/>
      <c r="F54" s="103"/>
      <c r="G54" s="104"/>
      <c r="H54" s="109"/>
      <c r="I54" s="119"/>
      <c r="J54" s="119"/>
      <c r="K54" s="119"/>
      <c r="L54" s="119"/>
      <c r="M54" s="30"/>
      <c r="N54" s="16"/>
    </row>
    <row r="55" spans="1:14" x14ac:dyDescent="0.3">
      <c r="A55" s="106"/>
      <c r="B55" s="107"/>
      <c r="C55" s="107"/>
      <c r="D55" s="113"/>
      <c r="F55" s="103"/>
      <c r="G55" s="104"/>
      <c r="H55" s="109"/>
      <c r="I55" s="119"/>
      <c r="J55" s="119"/>
      <c r="K55" s="119"/>
      <c r="L55" s="119"/>
      <c r="M55" s="30"/>
      <c r="N55" s="16"/>
    </row>
    <row r="56" spans="1:14" x14ac:dyDescent="0.3">
      <c r="A56" s="106"/>
      <c r="B56" s="107"/>
      <c r="C56" s="107"/>
      <c r="D56" s="114"/>
      <c r="F56" s="103"/>
      <c r="G56" s="104"/>
      <c r="H56" s="109"/>
      <c r="I56" s="119"/>
      <c r="J56" s="119"/>
      <c r="K56" s="119"/>
      <c r="L56" s="119"/>
      <c r="M56" s="30"/>
      <c r="N56" s="16"/>
    </row>
    <row r="57" spans="1:14" x14ac:dyDescent="0.3">
      <c r="A57" s="106"/>
      <c r="B57" s="107"/>
      <c r="C57" s="107"/>
      <c r="D57" s="113"/>
      <c r="F57" s="103"/>
      <c r="G57" s="104"/>
      <c r="H57" s="109"/>
      <c r="I57" s="119"/>
      <c r="J57" s="119"/>
      <c r="K57" s="119"/>
      <c r="L57" s="119"/>
      <c r="M57" s="30"/>
      <c r="N57" s="16"/>
    </row>
    <row r="58" spans="1:14" x14ac:dyDescent="0.3">
      <c r="A58" s="106"/>
      <c r="B58" s="107"/>
      <c r="C58" s="107"/>
      <c r="D58" s="114"/>
      <c r="F58" s="103"/>
      <c r="G58" s="104"/>
      <c r="H58" s="109"/>
      <c r="I58" s="119"/>
      <c r="J58" s="119"/>
      <c r="K58" s="119"/>
      <c r="L58" s="119"/>
      <c r="M58" s="30"/>
      <c r="N58" s="16"/>
    </row>
    <row r="59" spans="1:14" x14ac:dyDescent="0.3">
      <c r="A59" s="106"/>
      <c r="B59" s="107"/>
      <c r="C59" s="107"/>
      <c r="D59" s="113"/>
      <c r="F59" s="103"/>
      <c r="G59" s="104"/>
      <c r="H59" s="109"/>
      <c r="I59" s="119"/>
      <c r="J59" s="190"/>
      <c r="K59" s="190"/>
      <c r="L59" s="119"/>
      <c r="M59" s="30"/>
      <c r="N59" s="16"/>
    </row>
    <row r="60" spans="1:14" x14ac:dyDescent="0.3">
      <c r="A60" s="106"/>
      <c r="B60" s="107"/>
      <c r="C60" s="107"/>
      <c r="D60" s="114"/>
      <c r="F60" s="103"/>
      <c r="G60" s="104"/>
      <c r="H60" s="109"/>
      <c r="I60" s="189"/>
      <c r="J60" s="189"/>
      <c r="K60" s="189"/>
      <c r="L60" s="189"/>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78" t="s">
        <v>56</v>
      </c>
      <c r="B65" s="179"/>
      <c r="C65" s="179"/>
      <c r="D65" s="96">
        <f>SUM(Pest_51[Amount])</f>
        <v>0</v>
      </c>
      <c r="F65" s="173" t="s">
        <v>33</v>
      </c>
      <c r="G65" s="174"/>
      <c r="H65" s="174"/>
    </row>
    <row r="66" spans="1:8" x14ac:dyDescent="0.3">
      <c r="F66" s="173"/>
      <c r="G66" s="174"/>
      <c r="H66" s="174"/>
    </row>
    <row r="67" spans="1:8" ht="17.399999999999999" x14ac:dyDescent="0.3">
      <c r="A67" s="198" t="s">
        <v>69</v>
      </c>
      <c r="B67" s="198"/>
      <c r="C67" s="198"/>
      <c r="D67" s="198"/>
      <c r="E67" s="17"/>
      <c r="F67" s="183" t="s">
        <v>57</v>
      </c>
      <c r="G67" s="184"/>
      <c r="H67" s="185"/>
    </row>
    <row r="68" spans="1:8" x14ac:dyDescent="0.3">
      <c r="A68" s="21" t="s">
        <v>21</v>
      </c>
      <c r="B68" s="22" t="s">
        <v>22</v>
      </c>
      <c r="C68" s="22" t="s">
        <v>23</v>
      </c>
      <c r="D68" s="23" t="s">
        <v>25</v>
      </c>
      <c r="E68" s="24"/>
      <c r="F68" s="186"/>
      <c r="G68" s="187"/>
      <c r="H68" s="188"/>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78" t="s">
        <v>58</v>
      </c>
      <c r="B84" s="179"/>
      <c r="C84" s="179"/>
      <c r="D84" s="96">
        <f>SUM(Garbage_51[Amount])</f>
        <v>0</v>
      </c>
      <c r="E84" s="34"/>
      <c r="F84" s="173" t="s">
        <v>33</v>
      </c>
      <c r="G84" s="174"/>
      <c r="H84" s="174"/>
    </row>
    <row r="85" spans="1:8" x14ac:dyDescent="0.3">
      <c r="A85" s="38"/>
      <c r="B85" s="38"/>
      <c r="C85" s="38"/>
      <c r="D85" s="39"/>
      <c r="E85" s="40"/>
      <c r="F85" s="173"/>
      <c r="G85" s="174"/>
      <c r="H85" s="174"/>
    </row>
    <row r="86" spans="1:8" ht="17.399999999999999" x14ac:dyDescent="0.3">
      <c r="A86" s="191" t="s">
        <v>59</v>
      </c>
      <c r="B86" s="192"/>
      <c r="C86" s="192"/>
      <c r="D86" s="193"/>
      <c r="E86" s="17"/>
      <c r="F86" s="183" t="s">
        <v>60</v>
      </c>
      <c r="G86" s="184"/>
      <c r="H86" s="185"/>
    </row>
    <row r="87" spans="1:8" x14ac:dyDescent="0.3">
      <c r="A87" s="21" t="s">
        <v>21</v>
      </c>
      <c r="B87" s="22" t="s">
        <v>22</v>
      </c>
      <c r="C87" s="22" t="s">
        <v>23</v>
      </c>
      <c r="D87" s="23" t="s">
        <v>25</v>
      </c>
      <c r="E87" s="41"/>
      <c r="F87" s="186"/>
      <c r="G87" s="187"/>
      <c r="H87" s="188"/>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78" t="s">
        <v>61</v>
      </c>
      <c r="B103" s="179"/>
      <c r="C103" s="179"/>
      <c r="D103" s="96">
        <f>SUM(Boarding_51[Amount])</f>
        <v>0</v>
      </c>
      <c r="E103" s="34"/>
      <c r="F103" s="173" t="s">
        <v>33</v>
      </c>
      <c r="G103" s="174"/>
      <c r="H103" s="174"/>
    </row>
    <row r="104" spans="1:8" x14ac:dyDescent="0.3">
      <c r="A104" s="38"/>
      <c r="B104" s="38"/>
      <c r="C104" s="38"/>
      <c r="D104" s="39"/>
      <c r="E104" s="40"/>
      <c r="F104" s="173"/>
      <c r="G104" s="174"/>
      <c r="H104" s="174"/>
    </row>
    <row r="105" spans="1:8" ht="17.399999999999999" x14ac:dyDescent="0.3">
      <c r="A105" s="191" t="s">
        <v>70</v>
      </c>
      <c r="B105" s="192"/>
      <c r="C105" s="192"/>
      <c r="D105" s="193"/>
      <c r="E105" s="17"/>
      <c r="F105" s="183" t="s">
        <v>62</v>
      </c>
      <c r="G105" s="184"/>
      <c r="H105" s="185"/>
    </row>
    <row r="106" spans="1:8" x14ac:dyDescent="0.3">
      <c r="A106" s="21" t="s">
        <v>21</v>
      </c>
      <c r="B106" s="22" t="s">
        <v>22</v>
      </c>
      <c r="C106" s="22" t="s">
        <v>23</v>
      </c>
      <c r="D106" s="23" t="s">
        <v>25</v>
      </c>
      <c r="E106" s="41"/>
      <c r="F106" s="186"/>
      <c r="G106" s="187"/>
      <c r="H106" s="188"/>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78" t="s">
        <v>63</v>
      </c>
      <c r="B122" s="179"/>
      <c r="C122" s="179"/>
      <c r="D122" s="96">
        <f>SUM(Fence_51[Amount])</f>
        <v>0</v>
      </c>
      <c r="E122" s="34"/>
      <c r="F122" s="173" t="s">
        <v>33</v>
      </c>
      <c r="G122" s="174"/>
      <c r="H122" s="174"/>
    </row>
    <row r="123" spans="1:8" x14ac:dyDescent="0.3">
      <c r="F123" s="173"/>
      <c r="G123" s="174"/>
      <c r="H123" s="174"/>
    </row>
    <row r="124" spans="1:8" ht="17.399999999999999" x14ac:dyDescent="0.3">
      <c r="A124" s="191" t="s">
        <v>26</v>
      </c>
      <c r="B124" s="192"/>
      <c r="C124" s="192"/>
      <c r="D124" s="193"/>
      <c r="E124" s="17"/>
      <c r="F124" s="183" t="s">
        <v>11</v>
      </c>
      <c r="G124" s="184"/>
      <c r="H124" s="185"/>
    </row>
    <row r="125" spans="1:8" x14ac:dyDescent="0.3">
      <c r="A125" s="21" t="s">
        <v>21</v>
      </c>
      <c r="B125" s="22" t="s">
        <v>22</v>
      </c>
      <c r="C125" s="22" t="s">
        <v>23</v>
      </c>
      <c r="D125" s="23" t="s">
        <v>25</v>
      </c>
      <c r="E125" s="41"/>
      <c r="F125" s="186"/>
      <c r="G125" s="187"/>
      <c r="H125" s="188"/>
    </row>
    <row r="126" spans="1:8" x14ac:dyDescent="0.3">
      <c r="A126" s="100"/>
      <c r="B126" s="101"/>
      <c r="C126" s="101"/>
      <c r="D126" s="112">
        <v>26210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78" t="s">
        <v>27</v>
      </c>
      <c r="B141" s="179"/>
      <c r="C141" s="179"/>
      <c r="D141" s="96">
        <f>SUM(Demolition_51[Amount])</f>
        <v>26210</v>
      </c>
      <c r="E141" s="34"/>
      <c r="F141" s="173" t="s">
        <v>33</v>
      </c>
      <c r="G141" s="174"/>
      <c r="H141" s="174"/>
    </row>
    <row r="142" spans="1:8" x14ac:dyDescent="0.3">
      <c r="A142" s="38"/>
      <c r="B142" s="38"/>
      <c r="C142" s="38"/>
      <c r="D142" s="39"/>
      <c r="E142" s="40"/>
      <c r="F142" s="173"/>
      <c r="G142" s="174"/>
      <c r="H142" s="174"/>
    </row>
    <row r="143" spans="1:8" ht="17.399999999999999" x14ac:dyDescent="0.3">
      <c r="A143" s="191" t="s">
        <v>64</v>
      </c>
      <c r="B143" s="192"/>
      <c r="C143" s="192"/>
      <c r="D143" s="193"/>
      <c r="E143" s="17"/>
      <c r="F143" s="183" t="s">
        <v>44</v>
      </c>
      <c r="G143" s="184"/>
      <c r="H143" s="185"/>
    </row>
    <row r="144" spans="1:8" x14ac:dyDescent="0.3">
      <c r="A144" s="21" t="s">
        <v>21</v>
      </c>
      <c r="B144" s="22" t="s">
        <v>22</v>
      </c>
      <c r="C144" s="22" t="s">
        <v>23</v>
      </c>
      <c r="D144" s="23" t="s">
        <v>25</v>
      </c>
      <c r="E144" s="41"/>
      <c r="F144" s="186"/>
      <c r="G144" s="187"/>
      <c r="H144" s="188"/>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78" t="s">
        <v>65</v>
      </c>
      <c r="B160" s="179"/>
      <c r="C160" s="179"/>
      <c r="D160" s="96">
        <f>SUM(Rehab_51[Amount])</f>
        <v>0</v>
      </c>
      <c r="E160" s="34"/>
      <c r="F160" s="173" t="s">
        <v>33</v>
      </c>
      <c r="G160" s="174"/>
      <c r="H160" s="174"/>
    </row>
    <row r="161" spans="6:8" x14ac:dyDescent="0.3">
      <c r="F161" s="173"/>
      <c r="G161" s="174"/>
      <c r="H161" s="174"/>
    </row>
  </sheetData>
  <sheetProtection algorithmName="SHA-512" hashValue="Q2oB4KKQBiPDOWwpZGWxkzCcahayOoj9Jc+Pc+0031e0WxjhTxpvEHWLaGnHm2LADaUlekBJLEr40Vk5psAB8Q==" saltValue="8FCH3e0NuuUI+ANtZ7whcw=="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N161"/>
  <sheetViews>
    <sheetView showGridLines="0" zoomScaleNormal="100" workbookViewId="0">
      <pane ySplit="9" topLeftCell="A118"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5" t="s">
        <v>24</v>
      </c>
      <c r="B1" s="175"/>
      <c r="C1" s="175"/>
      <c r="D1" s="175"/>
      <c r="E1" s="1"/>
      <c r="F1" s="2"/>
      <c r="G1" s="2"/>
      <c r="H1" s="1"/>
    </row>
    <row r="2" spans="1:14" ht="24.9" customHeight="1" x14ac:dyDescent="0.3">
      <c r="A2" s="176" t="s">
        <v>71</v>
      </c>
      <c r="B2" s="176"/>
      <c r="C2" s="176"/>
      <c r="D2" s="176"/>
      <c r="E2" s="4"/>
      <c r="F2" s="120"/>
      <c r="G2" s="120"/>
      <c r="H2" s="5"/>
    </row>
    <row r="3" spans="1:14" ht="31.5" customHeight="1" x14ac:dyDescent="0.3">
      <c r="A3" s="176"/>
      <c r="B3" s="176"/>
      <c r="C3" s="176"/>
      <c r="D3" s="176"/>
      <c r="E3" s="4"/>
      <c r="F3" s="120"/>
      <c r="G3" s="120"/>
      <c r="H3" s="5"/>
    </row>
    <row r="4" spans="1:14" ht="15" customHeight="1" x14ac:dyDescent="0.25">
      <c r="A4" s="75" t="s">
        <v>19</v>
      </c>
      <c r="B4" s="194" t="str">
        <f>IF('Summary Sheet'!B84="","",'Summary Sheet'!B84)</f>
        <v>218 S KILPATRICK AVE</v>
      </c>
      <c r="C4" s="194"/>
      <c r="D4" s="120"/>
      <c r="E4" s="4"/>
      <c r="F4" s="120"/>
      <c r="G4" s="120"/>
      <c r="H4" s="5"/>
    </row>
    <row r="5" spans="1:14" ht="15" customHeight="1" x14ac:dyDescent="0.25">
      <c r="A5" s="75" t="s">
        <v>20</v>
      </c>
      <c r="B5" s="195" t="str">
        <f>IF('Summary Sheet'!C84="","",'Summary Sheet'!C84)</f>
        <v/>
      </c>
      <c r="C5" s="195"/>
      <c r="D5" s="120"/>
      <c r="E5" s="4"/>
      <c r="F5" s="120"/>
      <c r="G5" s="120"/>
      <c r="H5" s="5"/>
    </row>
    <row r="6" spans="1:14" ht="15" customHeight="1" x14ac:dyDescent="0.25">
      <c r="A6" s="75" t="s">
        <v>36</v>
      </c>
      <c r="B6" s="177"/>
      <c r="C6" s="177"/>
      <c r="D6" s="6"/>
      <c r="E6" s="7"/>
    </row>
    <row r="7" spans="1:14" ht="15" customHeight="1" x14ac:dyDescent="0.25">
      <c r="A7" s="7"/>
      <c r="B7" s="196" t="s">
        <v>34</v>
      </c>
      <c r="C7" s="196"/>
      <c r="D7" s="10"/>
    </row>
    <row r="8" spans="1:14" ht="20.100000000000001" customHeight="1" x14ac:dyDescent="0.25">
      <c r="B8" s="11"/>
      <c r="C8" s="11"/>
      <c r="D8" s="12" t="s">
        <v>31</v>
      </c>
      <c r="F8" s="180" t="s">
        <v>32</v>
      </c>
      <c r="G8" s="181"/>
      <c r="H8" s="182"/>
    </row>
    <row r="9" spans="1:14" s="14" customFormat="1" ht="20.100000000000001" customHeight="1" x14ac:dyDescent="0.25">
      <c r="A9" s="197"/>
      <c r="B9" s="197"/>
      <c r="C9" s="197"/>
      <c r="D9" s="13">
        <f>SUM(D27,D46,D65,D84,D103,D122,D141,D160)</f>
        <v>23010</v>
      </c>
      <c r="F9" s="15" t="s">
        <v>28</v>
      </c>
      <c r="G9" s="15" t="s">
        <v>29</v>
      </c>
      <c r="H9" s="15" t="s">
        <v>30</v>
      </c>
      <c r="I9" s="16"/>
      <c r="J9" s="16"/>
      <c r="K9" s="16"/>
      <c r="L9" s="16"/>
      <c r="M9" s="16"/>
      <c r="N9" s="16"/>
    </row>
    <row r="10" spans="1:14" s="17" customFormat="1" ht="23.1" customHeight="1" x14ac:dyDescent="0.3">
      <c r="A10" s="198" t="s">
        <v>51</v>
      </c>
      <c r="B10" s="198"/>
      <c r="C10" s="198"/>
      <c r="D10" s="198"/>
      <c r="F10" s="183" t="s">
        <v>66</v>
      </c>
      <c r="G10" s="184"/>
      <c r="H10" s="185"/>
      <c r="I10" s="18"/>
      <c r="J10" s="18"/>
      <c r="K10" s="18"/>
      <c r="L10" s="18"/>
      <c r="M10" s="19"/>
      <c r="N10" s="20"/>
    </row>
    <row r="11" spans="1:14" s="24" customFormat="1" ht="12.75" customHeight="1" x14ac:dyDescent="0.25">
      <c r="A11" s="21" t="s">
        <v>21</v>
      </c>
      <c r="B11" s="22" t="s">
        <v>22</v>
      </c>
      <c r="C11" s="22" t="s">
        <v>23</v>
      </c>
      <c r="D11" s="23" t="s">
        <v>25</v>
      </c>
      <c r="F11" s="186"/>
      <c r="G11" s="187"/>
      <c r="H11" s="188"/>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78" t="s">
        <v>53</v>
      </c>
      <c r="B27" s="179"/>
      <c r="C27" s="179"/>
      <c r="D27" s="96">
        <f>SUM(Grass_52[Amount])</f>
        <v>0</v>
      </c>
      <c r="F27" s="173" t="s">
        <v>33</v>
      </c>
      <c r="G27" s="174"/>
      <c r="H27" s="174"/>
      <c r="I27" s="35"/>
      <c r="J27" s="35"/>
      <c r="K27" s="35"/>
      <c r="L27" s="35"/>
      <c r="M27" s="36"/>
      <c r="N27" s="37"/>
    </row>
    <row r="28" spans="1:14" s="40" customFormat="1" ht="11.1" customHeight="1" x14ac:dyDescent="0.3">
      <c r="A28" s="38"/>
      <c r="B28" s="38"/>
      <c r="C28" s="38"/>
      <c r="D28" s="39"/>
      <c r="F28" s="173"/>
      <c r="G28" s="174"/>
      <c r="H28" s="174"/>
      <c r="I28" s="35"/>
      <c r="J28" s="35"/>
      <c r="K28" s="35"/>
      <c r="L28" s="35"/>
      <c r="M28" s="36"/>
      <c r="N28" s="37"/>
    </row>
    <row r="29" spans="1:14" s="17" customFormat="1" ht="23.1" customHeight="1" x14ac:dyDescent="0.3">
      <c r="A29" s="191" t="s">
        <v>67</v>
      </c>
      <c r="B29" s="192"/>
      <c r="C29" s="192"/>
      <c r="D29" s="193"/>
      <c r="F29" s="183" t="s">
        <v>52</v>
      </c>
      <c r="G29" s="184"/>
      <c r="H29" s="185"/>
      <c r="I29" s="18"/>
      <c r="J29" s="18"/>
      <c r="K29" s="18"/>
      <c r="L29" s="18"/>
      <c r="M29" s="19"/>
      <c r="N29" s="20"/>
    </row>
    <row r="30" spans="1:14" s="41" customFormat="1" ht="12.75" customHeight="1" x14ac:dyDescent="0.25">
      <c r="A30" s="21" t="s">
        <v>21</v>
      </c>
      <c r="B30" s="22" t="s">
        <v>22</v>
      </c>
      <c r="C30" s="22" t="s">
        <v>23</v>
      </c>
      <c r="D30" s="23" t="s">
        <v>25</v>
      </c>
      <c r="F30" s="186"/>
      <c r="G30" s="187"/>
      <c r="H30" s="188"/>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19"/>
      <c r="J44" s="29"/>
      <c r="K44" s="29"/>
      <c r="L44" s="119"/>
      <c r="M44" s="30"/>
      <c r="N44" s="16"/>
    </row>
    <row r="45" spans="1:14" x14ac:dyDescent="0.3">
      <c r="A45" s="106"/>
      <c r="B45" s="107"/>
      <c r="C45" s="107"/>
      <c r="D45" s="114"/>
      <c r="F45" s="103"/>
      <c r="G45" s="104"/>
      <c r="H45" s="109"/>
      <c r="I45" s="119"/>
      <c r="J45" s="29"/>
      <c r="K45" s="29"/>
      <c r="L45" s="119"/>
      <c r="M45" s="30"/>
      <c r="N45" s="16"/>
    </row>
    <row r="46" spans="1:14" s="34" customFormat="1" x14ac:dyDescent="0.3">
      <c r="A46" s="178" t="s">
        <v>54</v>
      </c>
      <c r="B46" s="179"/>
      <c r="C46" s="179"/>
      <c r="D46" s="96">
        <f>SUM(Tree_52[Amount])</f>
        <v>0</v>
      </c>
      <c r="F46" s="173" t="s">
        <v>33</v>
      </c>
      <c r="G46" s="174"/>
      <c r="H46" s="174"/>
      <c r="I46" s="43"/>
      <c r="J46" s="43"/>
      <c r="K46" s="43"/>
      <c r="L46" s="43"/>
      <c r="M46" s="36"/>
      <c r="N46" s="37"/>
    </row>
    <row r="47" spans="1:14" s="40" customFormat="1" ht="11.1" customHeight="1" x14ac:dyDescent="0.3">
      <c r="A47" s="38"/>
      <c r="B47" s="38"/>
      <c r="C47" s="38"/>
      <c r="D47" s="39"/>
      <c r="F47" s="173"/>
      <c r="G47" s="174"/>
      <c r="H47" s="174"/>
      <c r="I47" s="43"/>
      <c r="J47" s="43"/>
      <c r="K47" s="43"/>
      <c r="L47" s="43"/>
      <c r="M47" s="36"/>
      <c r="N47" s="37"/>
    </row>
    <row r="48" spans="1:14" s="17" customFormat="1" ht="23.1" customHeight="1" x14ac:dyDescent="0.3">
      <c r="A48" s="191" t="s">
        <v>68</v>
      </c>
      <c r="B48" s="192"/>
      <c r="C48" s="192"/>
      <c r="D48" s="193"/>
      <c r="F48" s="183" t="s">
        <v>55</v>
      </c>
      <c r="G48" s="184"/>
      <c r="H48" s="185"/>
      <c r="I48" s="44"/>
      <c r="J48" s="44"/>
      <c r="K48" s="44"/>
      <c r="L48" s="44"/>
      <c r="M48" s="19"/>
      <c r="N48" s="20"/>
    </row>
    <row r="49" spans="1:14" s="41" customFormat="1" ht="12.75" customHeight="1" x14ac:dyDescent="0.25">
      <c r="A49" s="21" t="s">
        <v>21</v>
      </c>
      <c r="B49" s="22" t="s">
        <v>22</v>
      </c>
      <c r="C49" s="22" t="s">
        <v>23</v>
      </c>
      <c r="D49" s="23" t="s">
        <v>25</v>
      </c>
      <c r="F49" s="186"/>
      <c r="G49" s="187"/>
      <c r="H49" s="188"/>
      <c r="I49" s="119"/>
      <c r="J49" s="119"/>
      <c r="K49" s="119"/>
      <c r="L49" s="119"/>
      <c r="M49" s="30"/>
      <c r="N49" s="42"/>
    </row>
    <row r="50" spans="1:14" x14ac:dyDescent="0.3">
      <c r="A50" s="100"/>
      <c r="B50" s="101"/>
      <c r="C50" s="101"/>
      <c r="D50" s="112"/>
      <c r="F50" s="103"/>
      <c r="G50" s="104"/>
      <c r="H50" s="109"/>
      <c r="I50" s="119"/>
      <c r="J50" s="119"/>
      <c r="K50" s="119"/>
      <c r="L50" s="119"/>
      <c r="M50" s="30"/>
      <c r="N50" s="16"/>
    </row>
    <row r="51" spans="1:14" x14ac:dyDescent="0.3">
      <c r="A51" s="106"/>
      <c r="B51" s="107"/>
      <c r="C51" s="107"/>
      <c r="D51" s="113"/>
      <c r="F51" s="103"/>
      <c r="G51" s="104"/>
      <c r="H51" s="109"/>
      <c r="I51" s="119"/>
      <c r="J51" s="119"/>
      <c r="K51" s="119"/>
      <c r="L51" s="119"/>
      <c r="M51" s="30"/>
      <c r="N51" s="16"/>
    </row>
    <row r="52" spans="1:14" x14ac:dyDescent="0.3">
      <c r="A52" s="106"/>
      <c r="B52" s="107"/>
      <c r="C52" s="107"/>
      <c r="D52" s="114"/>
      <c r="F52" s="103"/>
      <c r="H52" s="109"/>
      <c r="I52" s="119"/>
      <c r="J52" s="119"/>
      <c r="K52" s="119"/>
      <c r="L52" s="119"/>
      <c r="M52" s="30"/>
      <c r="N52" s="16"/>
    </row>
    <row r="53" spans="1:14" x14ac:dyDescent="0.3">
      <c r="A53" s="106"/>
      <c r="B53" s="107"/>
      <c r="C53" s="107"/>
      <c r="D53" s="113"/>
      <c r="F53" s="103"/>
      <c r="G53" s="104"/>
      <c r="H53" s="109"/>
      <c r="I53" s="119"/>
      <c r="J53" s="119"/>
      <c r="K53" s="119"/>
      <c r="L53" s="119"/>
      <c r="M53" s="30"/>
      <c r="N53" s="16"/>
    </row>
    <row r="54" spans="1:14" x14ac:dyDescent="0.3">
      <c r="A54" s="106"/>
      <c r="B54" s="107"/>
      <c r="C54" s="107"/>
      <c r="D54" s="114"/>
      <c r="F54" s="103"/>
      <c r="G54" s="104"/>
      <c r="H54" s="109"/>
      <c r="I54" s="119"/>
      <c r="J54" s="119"/>
      <c r="K54" s="119"/>
      <c r="L54" s="119"/>
      <c r="M54" s="30"/>
      <c r="N54" s="16"/>
    </row>
    <row r="55" spans="1:14" x14ac:dyDescent="0.3">
      <c r="A55" s="106"/>
      <c r="B55" s="107"/>
      <c r="C55" s="107"/>
      <c r="D55" s="113"/>
      <c r="F55" s="103"/>
      <c r="G55" s="104"/>
      <c r="H55" s="109"/>
      <c r="I55" s="119"/>
      <c r="J55" s="119"/>
      <c r="K55" s="119"/>
      <c r="L55" s="119"/>
      <c r="M55" s="30"/>
      <c r="N55" s="16"/>
    </row>
    <row r="56" spans="1:14" x14ac:dyDescent="0.3">
      <c r="A56" s="106"/>
      <c r="B56" s="107"/>
      <c r="C56" s="107"/>
      <c r="D56" s="114"/>
      <c r="F56" s="103"/>
      <c r="G56" s="104"/>
      <c r="H56" s="109"/>
      <c r="I56" s="119"/>
      <c r="J56" s="119"/>
      <c r="K56" s="119"/>
      <c r="L56" s="119"/>
      <c r="M56" s="30"/>
      <c r="N56" s="16"/>
    </row>
    <row r="57" spans="1:14" x14ac:dyDescent="0.3">
      <c r="A57" s="106"/>
      <c r="B57" s="107"/>
      <c r="C57" s="107"/>
      <c r="D57" s="113"/>
      <c r="F57" s="103"/>
      <c r="G57" s="104"/>
      <c r="H57" s="109"/>
      <c r="I57" s="119"/>
      <c r="J57" s="119"/>
      <c r="K57" s="119"/>
      <c r="L57" s="119"/>
      <c r="M57" s="30"/>
      <c r="N57" s="16"/>
    </row>
    <row r="58" spans="1:14" x14ac:dyDescent="0.3">
      <c r="A58" s="106"/>
      <c r="B58" s="107"/>
      <c r="C58" s="107"/>
      <c r="D58" s="114"/>
      <c r="F58" s="103"/>
      <c r="G58" s="104"/>
      <c r="H58" s="109"/>
      <c r="I58" s="119"/>
      <c r="J58" s="119"/>
      <c r="K58" s="119"/>
      <c r="L58" s="119"/>
      <c r="M58" s="30"/>
      <c r="N58" s="16"/>
    </row>
    <row r="59" spans="1:14" x14ac:dyDescent="0.3">
      <c r="A59" s="106"/>
      <c r="B59" s="107"/>
      <c r="C59" s="107"/>
      <c r="D59" s="113"/>
      <c r="F59" s="103"/>
      <c r="G59" s="104"/>
      <c r="H59" s="109"/>
      <c r="I59" s="119"/>
      <c r="J59" s="190"/>
      <c r="K59" s="190"/>
      <c r="L59" s="119"/>
      <c r="M59" s="30"/>
      <c r="N59" s="16"/>
    </row>
    <row r="60" spans="1:14" x14ac:dyDescent="0.3">
      <c r="A60" s="106"/>
      <c r="B60" s="107"/>
      <c r="C60" s="107"/>
      <c r="D60" s="114"/>
      <c r="F60" s="103"/>
      <c r="G60" s="104"/>
      <c r="H60" s="109"/>
      <c r="I60" s="189"/>
      <c r="J60" s="189"/>
      <c r="K60" s="189"/>
      <c r="L60" s="189"/>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78" t="s">
        <v>56</v>
      </c>
      <c r="B65" s="179"/>
      <c r="C65" s="179"/>
      <c r="D65" s="96">
        <f>SUM(Pest_52[Amount])</f>
        <v>0</v>
      </c>
      <c r="F65" s="173" t="s">
        <v>33</v>
      </c>
      <c r="G65" s="174"/>
      <c r="H65" s="174"/>
    </row>
    <row r="66" spans="1:8" x14ac:dyDescent="0.3">
      <c r="F66" s="173"/>
      <c r="G66" s="174"/>
      <c r="H66" s="174"/>
    </row>
    <row r="67" spans="1:8" ht="17.399999999999999" x14ac:dyDescent="0.3">
      <c r="A67" s="198" t="s">
        <v>69</v>
      </c>
      <c r="B67" s="198"/>
      <c r="C67" s="198"/>
      <c r="D67" s="198"/>
      <c r="E67" s="17"/>
      <c r="F67" s="183" t="s">
        <v>57</v>
      </c>
      <c r="G67" s="184"/>
      <c r="H67" s="185"/>
    </row>
    <row r="68" spans="1:8" x14ac:dyDescent="0.3">
      <c r="A68" s="21" t="s">
        <v>21</v>
      </c>
      <c r="B68" s="22" t="s">
        <v>22</v>
      </c>
      <c r="C68" s="22" t="s">
        <v>23</v>
      </c>
      <c r="D68" s="23" t="s">
        <v>25</v>
      </c>
      <c r="E68" s="24"/>
      <c r="F68" s="186"/>
      <c r="G68" s="187"/>
      <c r="H68" s="188"/>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78" t="s">
        <v>58</v>
      </c>
      <c r="B84" s="179"/>
      <c r="C84" s="179"/>
      <c r="D84" s="96">
        <f>SUM(Garbage_52[Amount])</f>
        <v>0</v>
      </c>
      <c r="E84" s="34"/>
      <c r="F84" s="173" t="s">
        <v>33</v>
      </c>
      <c r="G84" s="174"/>
      <c r="H84" s="174"/>
    </row>
    <row r="85" spans="1:8" x14ac:dyDescent="0.3">
      <c r="A85" s="38"/>
      <c r="B85" s="38"/>
      <c r="C85" s="38"/>
      <c r="D85" s="39"/>
      <c r="E85" s="40"/>
      <c r="F85" s="173"/>
      <c r="G85" s="174"/>
      <c r="H85" s="174"/>
    </row>
    <row r="86" spans="1:8" ht="17.399999999999999" x14ac:dyDescent="0.3">
      <c r="A86" s="191" t="s">
        <v>59</v>
      </c>
      <c r="B86" s="192"/>
      <c r="C86" s="192"/>
      <c r="D86" s="193"/>
      <c r="E86" s="17"/>
      <c r="F86" s="183" t="s">
        <v>60</v>
      </c>
      <c r="G86" s="184"/>
      <c r="H86" s="185"/>
    </row>
    <row r="87" spans="1:8" x14ac:dyDescent="0.3">
      <c r="A87" s="21" t="s">
        <v>21</v>
      </c>
      <c r="B87" s="22" t="s">
        <v>22</v>
      </c>
      <c r="C87" s="22" t="s">
        <v>23</v>
      </c>
      <c r="D87" s="23" t="s">
        <v>25</v>
      </c>
      <c r="E87" s="41"/>
      <c r="F87" s="186"/>
      <c r="G87" s="187"/>
      <c r="H87" s="188"/>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78" t="s">
        <v>61</v>
      </c>
      <c r="B103" s="179"/>
      <c r="C103" s="179"/>
      <c r="D103" s="96">
        <f>SUM(Boarding_52[Amount])</f>
        <v>0</v>
      </c>
      <c r="E103" s="34"/>
      <c r="F103" s="173" t="s">
        <v>33</v>
      </c>
      <c r="G103" s="174"/>
      <c r="H103" s="174"/>
    </row>
    <row r="104" spans="1:8" x14ac:dyDescent="0.3">
      <c r="A104" s="38"/>
      <c r="B104" s="38"/>
      <c r="C104" s="38"/>
      <c r="D104" s="39"/>
      <c r="E104" s="40"/>
      <c r="F104" s="173"/>
      <c r="G104" s="174"/>
      <c r="H104" s="174"/>
    </row>
    <row r="105" spans="1:8" ht="17.399999999999999" x14ac:dyDescent="0.3">
      <c r="A105" s="191" t="s">
        <v>70</v>
      </c>
      <c r="B105" s="192"/>
      <c r="C105" s="192"/>
      <c r="D105" s="193"/>
      <c r="E105" s="17"/>
      <c r="F105" s="183" t="s">
        <v>62</v>
      </c>
      <c r="G105" s="184"/>
      <c r="H105" s="185"/>
    </row>
    <row r="106" spans="1:8" x14ac:dyDescent="0.3">
      <c r="A106" s="21" t="s">
        <v>21</v>
      </c>
      <c r="B106" s="22" t="s">
        <v>22</v>
      </c>
      <c r="C106" s="22" t="s">
        <v>23</v>
      </c>
      <c r="D106" s="23" t="s">
        <v>25</v>
      </c>
      <c r="E106" s="41"/>
      <c r="F106" s="186"/>
      <c r="G106" s="187"/>
      <c r="H106" s="188"/>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78" t="s">
        <v>63</v>
      </c>
      <c r="B122" s="179"/>
      <c r="C122" s="179"/>
      <c r="D122" s="96">
        <f>SUM(Fence_52[Amount])</f>
        <v>0</v>
      </c>
      <c r="E122" s="34"/>
      <c r="F122" s="173" t="s">
        <v>33</v>
      </c>
      <c r="G122" s="174"/>
      <c r="H122" s="174"/>
    </row>
    <row r="123" spans="1:8" x14ac:dyDescent="0.3">
      <c r="F123" s="173"/>
      <c r="G123" s="174"/>
      <c r="H123" s="174"/>
    </row>
    <row r="124" spans="1:8" ht="17.399999999999999" x14ac:dyDescent="0.3">
      <c r="A124" s="191" t="s">
        <v>26</v>
      </c>
      <c r="B124" s="192"/>
      <c r="C124" s="192"/>
      <c r="D124" s="193"/>
      <c r="E124" s="17"/>
      <c r="F124" s="183" t="s">
        <v>11</v>
      </c>
      <c r="G124" s="184"/>
      <c r="H124" s="185"/>
    </row>
    <row r="125" spans="1:8" x14ac:dyDescent="0.3">
      <c r="A125" s="21" t="s">
        <v>21</v>
      </c>
      <c r="B125" s="22" t="s">
        <v>22</v>
      </c>
      <c r="C125" s="22" t="s">
        <v>23</v>
      </c>
      <c r="D125" s="23" t="s">
        <v>25</v>
      </c>
      <c r="E125" s="41"/>
      <c r="F125" s="186"/>
      <c r="G125" s="187"/>
      <c r="H125" s="188"/>
    </row>
    <row r="126" spans="1:8" x14ac:dyDescent="0.3">
      <c r="A126" s="100"/>
      <c r="B126" s="101"/>
      <c r="C126" s="101"/>
      <c r="D126" s="112">
        <v>23010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78" t="s">
        <v>27</v>
      </c>
      <c r="B141" s="179"/>
      <c r="C141" s="179"/>
      <c r="D141" s="96">
        <f>SUM(Demolition_52[Amount])</f>
        <v>23010</v>
      </c>
      <c r="E141" s="34"/>
      <c r="F141" s="173" t="s">
        <v>33</v>
      </c>
      <c r="G141" s="174"/>
      <c r="H141" s="174"/>
    </row>
    <row r="142" spans="1:8" x14ac:dyDescent="0.3">
      <c r="A142" s="38"/>
      <c r="B142" s="38"/>
      <c r="C142" s="38"/>
      <c r="D142" s="39"/>
      <c r="E142" s="40"/>
      <c r="F142" s="173"/>
      <c r="G142" s="174"/>
      <c r="H142" s="174"/>
    </row>
    <row r="143" spans="1:8" ht="17.399999999999999" x14ac:dyDescent="0.3">
      <c r="A143" s="191" t="s">
        <v>64</v>
      </c>
      <c r="B143" s="192"/>
      <c r="C143" s="192"/>
      <c r="D143" s="193"/>
      <c r="E143" s="17"/>
      <c r="F143" s="183" t="s">
        <v>44</v>
      </c>
      <c r="G143" s="184"/>
      <c r="H143" s="185"/>
    </row>
    <row r="144" spans="1:8" x14ac:dyDescent="0.3">
      <c r="A144" s="21" t="s">
        <v>21</v>
      </c>
      <c r="B144" s="22" t="s">
        <v>22</v>
      </c>
      <c r="C144" s="22" t="s">
        <v>23</v>
      </c>
      <c r="D144" s="23" t="s">
        <v>25</v>
      </c>
      <c r="E144" s="41"/>
      <c r="F144" s="186"/>
      <c r="G144" s="187"/>
      <c r="H144" s="188"/>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78" t="s">
        <v>65</v>
      </c>
      <c r="B160" s="179"/>
      <c r="C160" s="179"/>
      <c r="D160" s="96">
        <f>SUM(Rehab_52[Amount])</f>
        <v>0</v>
      </c>
      <c r="E160" s="34"/>
      <c r="F160" s="173" t="s">
        <v>33</v>
      </c>
      <c r="G160" s="174"/>
      <c r="H160" s="174"/>
    </row>
    <row r="161" spans="6:8" x14ac:dyDescent="0.3">
      <c r="F161" s="173"/>
      <c r="G161" s="174"/>
      <c r="H161" s="174"/>
    </row>
  </sheetData>
  <sheetProtection algorithmName="SHA-512" hashValue="KCti/o/h0pK7jFO+RZ2H6aIN8ne8+glUoF+Hro+WD9gtNXEI8HT7qkfibL4V6MD2j1NfzmKf3VcnmctsUdvseg==" saltValue="bu0kBdFJynRW+9WOSqldNg=="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pageSetUpPr fitToPage="1"/>
  </sheetPr>
  <dimension ref="A1:N161"/>
  <sheetViews>
    <sheetView showGridLines="0" zoomScaleNormal="100" workbookViewId="0">
      <pane ySplit="9" topLeftCell="A118"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5" t="s">
        <v>24</v>
      </c>
      <c r="B1" s="175"/>
      <c r="C1" s="175"/>
      <c r="D1" s="175"/>
      <c r="E1" s="1"/>
      <c r="F1" s="2"/>
      <c r="G1" s="2"/>
      <c r="H1" s="1"/>
    </row>
    <row r="2" spans="1:14" ht="24.9" customHeight="1" x14ac:dyDescent="0.3">
      <c r="A2" s="176" t="s">
        <v>71</v>
      </c>
      <c r="B2" s="176"/>
      <c r="C2" s="176"/>
      <c r="D2" s="176"/>
      <c r="E2" s="4"/>
      <c r="F2" s="120"/>
      <c r="G2" s="120"/>
      <c r="H2" s="5"/>
    </row>
    <row r="3" spans="1:14" ht="31.5" customHeight="1" x14ac:dyDescent="0.3">
      <c r="A3" s="176"/>
      <c r="B3" s="176"/>
      <c r="C3" s="176"/>
      <c r="D3" s="176"/>
      <c r="E3" s="4"/>
      <c r="F3" s="120"/>
      <c r="G3" s="120"/>
      <c r="H3" s="5"/>
    </row>
    <row r="4" spans="1:14" ht="15" customHeight="1" x14ac:dyDescent="0.25">
      <c r="A4" s="75" t="s">
        <v>19</v>
      </c>
      <c r="B4" s="194" t="str">
        <f>IF('Summary Sheet'!B85="","",'Summary Sheet'!B85)</f>
        <v>2217 W 50TH PL</v>
      </c>
      <c r="C4" s="194"/>
      <c r="D4" s="120"/>
      <c r="E4" s="4"/>
      <c r="F4" s="120"/>
      <c r="G4" s="120"/>
      <c r="H4" s="5"/>
    </row>
    <row r="5" spans="1:14" ht="15" customHeight="1" x14ac:dyDescent="0.25">
      <c r="A5" s="75" t="s">
        <v>20</v>
      </c>
      <c r="B5" s="195" t="str">
        <f>IF('Summary Sheet'!C85="","",'Summary Sheet'!C85)</f>
        <v/>
      </c>
      <c r="C5" s="195"/>
      <c r="D5" s="120"/>
      <c r="E5" s="4"/>
      <c r="F5" s="120"/>
      <c r="G5" s="120"/>
      <c r="H5" s="5"/>
    </row>
    <row r="6" spans="1:14" ht="15" customHeight="1" x14ac:dyDescent="0.25">
      <c r="A6" s="75" t="s">
        <v>36</v>
      </c>
      <c r="B6" s="177"/>
      <c r="C6" s="177"/>
      <c r="D6" s="6"/>
      <c r="E6" s="7"/>
    </row>
    <row r="7" spans="1:14" ht="15" customHeight="1" x14ac:dyDescent="0.25">
      <c r="A7" s="7"/>
      <c r="B7" s="196" t="s">
        <v>34</v>
      </c>
      <c r="C7" s="196"/>
      <c r="D7" s="10"/>
    </row>
    <row r="8" spans="1:14" ht="20.100000000000001" customHeight="1" x14ac:dyDescent="0.25">
      <c r="B8" s="11"/>
      <c r="C8" s="11"/>
      <c r="D8" s="12" t="s">
        <v>31</v>
      </c>
      <c r="F8" s="180" t="s">
        <v>32</v>
      </c>
      <c r="G8" s="181"/>
      <c r="H8" s="182"/>
    </row>
    <row r="9" spans="1:14" s="14" customFormat="1" ht="20.100000000000001" customHeight="1" x14ac:dyDescent="0.25">
      <c r="A9" s="197"/>
      <c r="B9" s="197"/>
      <c r="C9" s="197"/>
      <c r="D9" s="13">
        <f>SUM(D27,D46,D65,D84,D103,D122,D141,D160)</f>
        <v>25850</v>
      </c>
      <c r="F9" s="15" t="s">
        <v>28</v>
      </c>
      <c r="G9" s="15" t="s">
        <v>29</v>
      </c>
      <c r="H9" s="15" t="s">
        <v>30</v>
      </c>
      <c r="I9" s="16"/>
      <c r="J9" s="16"/>
      <c r="K9" s="16"/>
      <c r="L9" s="16"/>
      <c r="M9" s="16"/>
      <c r="N9" s="16"/>
    </row>
    <row r="10" spans="1:14" s="17" customFormat="1" ht="23.1" customHeight="1" x14ac:dyDescent="0.3">
      <c r="A10" s="198" t="s">
        <v>51</v>
      </c>
      <c r="B10" s="198"/>
      <c r="C10" s="198"/>
      <c r="D10" s="198"/>
      <c r="F10" s="183" t="s">
        <v>66</v>
      </c>
      <c r="G10" s="184"/>
      <c r="H10" s="185"/>
      <c r="I10" s="18"/>
      <c r="J10" s="18"/>
      <c r="K10" s="18"/>
      <c r="L10" s="18"/>
      <c r="M10" s="19"/>
      <c r="N10" s="20"/>
    </row>
    <row r="11" spans="1:14" s="24" customFormat="1" ht="12.75" customHeight="1" x14ac:dyDescent="0.25">
      <c r="A11" s="21" t="s">
        <v>21</v>
      </c>
      <c r="B11" s="22" t="s">
        <v>22</v>
      </c>
      <c r="C11" s="22" t="s">
        <v>23</v>
      </c>
      <c r="D11" s="23" t="s">
        <v>25</v>
      </c>
      <c r="F11" s="186"/>
      <c r="G11" s="187"/>
      <c r="H11" s="188"/>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78" t="s">
        <v>53</v>
      </c>
      <c r="B27" s="179"/>
      <c r="C27" s="179"/>
      <c r="D27" s="96">
        <f>SUM(Grass_53[Amount])</f>
        <v>0</v>
      </c>
      <c r="F27" s="173" t="s">
        <v>33</v>
      </c>
      <c r="G27" s="174"/>
      <c r="H27" s="174"/>
      <c r="I27" s="35"/>
      <c r="J27" s="35"/>
      <c r="K27" s="35"/>
      <c r="L27" s="35"/>
      <c r="M27" s="36"/>
      <c r="N27" s="37"/>
    </row>
    <row r="28" spans="1:14" s="40" customFormat="1" ht="11.1" customHeight="1" x14ac:dyDescent="0.3">
      <c r="A28" s="38"/>
      <c r="B28" s="38"/>
      <c r="C28" s="38"/>
      <c r="D28" s="39"/>
      <c r="F28" s="173"/>
      <c r="G28" s="174"/>
      <c r="H28" s="174"/>
      <c r="I28" s="35"/>
      <c r="J28" s="35"/>
      <c r="K28" s="35"/>
      <c r="L28" s="35"/>
      <c r="M28" s="36"/>
      <c r="N28" s="37"/>
    </row>
    <row r="29" spans="1:14" s="17" customFormat="1" ht="23.1" customHeight="1" x14ac:dyDescent="0.3">
      <c r="A29" s="191" t="s">
        <v>67</v>
      </c>
      <c r="B29" s="192"/>
      <c r="C29" s="192"/>
      <c r="D29" s="193"/>
      <c r="F29" s="183" t="s">
        <v>52</v>
      </c>
      <c r="G29" s="184"/>
      <c r="H29" s="185"/>
      <c r="I29" s="18"/>
      <c r="J29" s="18"/>
      <c r="K29" s="18"/>
      <c r="L29" s="18"/>
      <c r="M29" s="19"/>
      <c r="N29" s="20"/>
    </row>
    <row r="30" spans="1:14" s="41" customFormat="1" ht="12.75" customHeight="1" x14ac:dyDescent="0.25">
      <c r="A30" s="21" t="s">
        <v>21</v>
      </c>
      <c r="B30" s="22" t="s">
        <v>22</v>
      </c>
      <c r="C30" s="22" t="s">
        <v>23</v>
      </c>
      <c r="D30" s="23" t="s">
        <v>25</v>
      </c>
      <c r="F30" s="186"/>
      <c r="G30" s="187"/>
      <c r="H30" s="188"/>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19"/>
      <c r="J44" s="29"/>
      <c r="K44" s="29"/>
      <c r="L44" s="119"/>
      <c r="M44" s="30"/>
      <c r="N44" s="16"/>
    </row>
    <row r="45" spans="1:14" x14ac:dyDescent="0.3">
      <c r="A45" s="106"/>
      <c r="B45" s="107"/>
      <c r="C45" s="107"/>
      <c r="D45" s="114"/>
      <c r="F45" s="103"/>
      <c r="G45" s="104"/>
      <c r="H45" s="109"/>
      <c r="I45" s="119"/>
      <c r="J45" s="29"/>
      <c r="K45" s="29"/>
      <c r="L45" s="119"/>
      <c r="M45" s="30"/>
      <c r="N45" s="16"/>
    </row>
    <row r="46" spans="1:14" s="34" customFormat="1" x14ac:dyDescent="0.3">
      <c r="A46" s="178" t="s">
        <v>54</v>
      </c>
      <c r="B46" s="179"/>
      <c r="C46" s="179"/>
      <c r="D46" s="96">
        <f>SUM(Tree_53[Amount])</f>
        <v>0</v>
      </c>
      <c r="F46" s="173" t="s">
        <v>33</v>
      </c>
      <c r="G46" s="174"/>
      <c r="H46" s="174"/>
      <c r="I46" s="43"/>
      <c r="J46" s="43"/>
      <c r="K46" s="43"/>
      <c r="L46" s="43"/>
      <c r="M46" s="36"/>
      <c r="N46" s="37"/>
    </row>
    <row r="47" spans="1:14" s="40" customFormat="1" ht="11.1" customHeight="1" x14ac:dyDescent="0.3">
      <c r="A47" s="38"/>
      <c r="B47" s="38"/>
      <c r="C47" s="38"/>
      <c r="D47" s="39"/>
      <c r="F47" s="173"/>
      <c r="G47" s="174"/>
      <c r="H47" s="174"/>
      <c r="I47" s="43"/>
      <c r="J47" s="43"/>
      <c r="K47" s="43"/>
      <c r="L47" s="43"/>
      <c r="M47" s="36"/>
      <c r="N47" s="37"/>
    </row>
    <row r="48" spans="1:14" s="17" customFormat="1" ht="23.1" customHeight="1" x14ac:dyDescent="0.3">
      <c r="A48" s="191" t="s">
        <v>68</v>
      </c>
      <c r="B48" s="192"/>
      <c r="C48" s="192"/>
      <c r="D48" s="193"/>
      <c r="F48" s="183" t="s">
        <v>55</v>
      </c>
      <c r="G48" s="184"/>
      <c r="H48" s="185"/>
      <c r="I48" s="44"/>
      <c r="J48" s="44"/>
      <c r="K48" s="44"/>
      <c r="L48" s="44"/>
      <c r="M48" s="19"/>
      <c r="N48" s="20"/>
    </row>
    <row r="49" spans="1:14" s="41" customFormat="1" ht="12.75" customHeight="1" x14ac:dyDescent="0.25">
      <c r="A49" s="21" t="s">
        <v>21</v>
      </c>
      <c r="B49" s="22" t="s">
        <v>22</v>
      </c>
      <c r="C49" s="22" t="s">
        <v>23</v>
      </c>
      <c r="D49" s="23" t="s">
        <v>25</v>
      </c>
      <c r="F49" s="186"/>
      <c r="G49" s="187"/>
      <c r="H49" s="188"/>
      <c r="I49" s="119"/>
      <c r="J49" s="119"/>
      <c r="K49" s="119"/>
      <c r="L49" s="119"/>
      <c r="M49" s="30"/>
      <c r="N49" s="42"/>
    </row>
    <row r="50" spans="1:14" x14ac:dyDescent="0.3">
      <c r="A50" s="100"/>
      <c r="B50" s="101"/>
      <c r="C50" s="101"/>
      <c r="D50" s="112"/>
      <c r="F50" s="103"/>
      <c r="G50" s="104"/>
      <c r="H50" s="109"/>
      <c r="I50" s="119"/>
      <c r="J50" s="119"/>
      <c r="K50" s="119"/>
      <c r="L50" s="119"/>
      <c r="M50" s="30"/>
      <c r="N50" s="16"/>
    </row>
    <row r="51" spans="1:14" x14ac:dyDescent="0.3">
      <c r="A51" s="106"/>
      <c r="B51" s="107"/>
      <c r="C51" s="107"/>
      <c r="D51" s="113"/>
      <c r="F51" s="103"/>
      <c r="G51" s="104"/>
      <c r="H51" s="109"/>
      <c r="I51" s="119"/>
      <c r="J51" s="119"/>
      <c r="K51" s="119"/>
      <c r="L51" s="119"/>
      <c r="M51" s="30"/>
      <c r="N51" s="16"/>
    </row>
    <row r="52" spans="1:14" x14ac:dyDescent="0.3">
      <c r="A52" s="106"/>
      <c r="B52" s="107"/>
      <c r="C52" s="107"/>
      <c r="D52" s="114"/>
      <c r="F52" s="103"/>
      <c r="H52" s="109"/>
      <c r="I52" s="119"/>
      <c r="J52" s="119"/>
      <c r="K52" s="119"/>
      <c r="L52" s="119"/>
      <c r="M52" s="30"/>
      <c r="N52" s="16"/>
    </row>
    <row r="53" spans="1:14" x14ac:dyDescent="0.3">
      <c r="A53" s="106"/>
      <c r="B53" s="107"/>
      <c r="C53" s="107"/>
      <c r="D53" s="113"/>
      <c r="F53" s="103"/>
      <c r="G53" s="104"/>
      <c r="H53" s="109"/>
      <c r="I53" s="119"/>
      <c r="J53" s="119"/>
      <c r="K53" s="119"/>
      <c r="L53" s="119"/>
      <c r="M53" s="30"/>
      <c r="N53" s="16"/>
    </row>
    <row r="54" spans="1:14" x14ac:dyDescent="0.3">
      <c r="A54" s="106"/>
      <c r="B54" s="107"/>
      <c r="C54" s="107"/>
      <c r="D54" s="114"/>
      <c r="F54" s="103"/>
      <c r="G54" s="104"/>
      <c r="H54" s="109"/>
      <c r="I54" s="119"/>
      <c r="J54" s="119"/>
      <c r="K54" s="119"/>
      <c r="L54" s="119"/>
      <c r="M54" s="30"/>
      <c r="N54" s="16"/>
    </row>
    <row r="55" spans="1:14" x14ac:dyDescent="0.3">
      <c r="A55" s="106"/>
      <c r="B55" s="107"/>
      <c r="C55" s="107"/>
      <c r="D55" s="113"/>
      <c r="F55" s="103"/>
      <c r="G55" s="104"/>
      <c r="H55" s="109"/>
      <c r="I55" s="119"/>
      <c r="J55" s="119"/>
      <c r="K55" s="119"/>
      <c r="L55" s="119"/>
      <c r="M55" s="30"/>
      <c r="N55" s="16"/>
    </row>
    <row r="56" spans="1:14" x14ac:dyDescent="0.3">
      <c r="A56" s="106"/>
      <c r="B56" s="107"/>
      <c r="C56" s="107"/>
      <c r="D56" s="114"/>
      <c r="F56" s="103"/>
      <c r="G56" s="104"/>
      <c r="H56" s="109"/>
      <c r="I56" s="119"/>
      <c r="J56" s="119"/>
      <c r="K56" s="119"/>
      <c r="L56" s="119"/>
      <c r="M56" s="30"/>
      <c r="N56" s="16"/>
    </row>
    <row r="57" spans="1:14" x14ac:dyDescent="0.3">
      <c r="A57" s="106"/>
      <c r="B57" s="107"/>
      <c r="C57" s="107"/>
      <c r="D57" s="113"/>
      <c r="F57" s="103"/>
      <c r="G57" s="104"/>
      <c r="H57" s="109"/>
      <c r="I57" s="119"/>
      <c r="J57" s="119"/>
      <c r="K57" s="119"/>
      <c r="L57" s="119"/>
      <c r="M57" s="30"/>
      <c r="N57" s="16"/>
    </row>
    <row r="58" spans="1:14" x14ac:dyDescent="0.3">
      <c r="A58" s="106"/>
      <c r="B58" s="107"/>
      <c r="C58" s="107"/>
      <c r="D58" s="114"/>
      <c r="F58" s="103"/>
      <c r="G58" s="104"/>
      <c r="H58" s="109"/>
      <c r="I58" s="119"/>
      <c r="J58" s="119"/>
      <c r="K58" s="119"/>
      <c r="L58" s="119"/>
      <c r="M58" s="30"/>
      <c r="N58" s="16"/>
    </row>
    <row r="59" spans="1:14" x14ac:dyDescent="0.3">
      <c r="A59" s="106"/>
      <c r="B59" s="107"/>
      <c r="C59" s="107"/>
      <c r="D59" s="113"/>
      <c r="F59" s="103"/>
      <c r="G59" s="104"/>
      <c r="H59" s="109"/>
      <c r="I59" s="119"/>
      <c r="J59" s="190"/>
      <c r="K59" s="190"/>
      <c r="L59" s="119"/>
      <c r="M59" s="30"/>
      <c r="N59" s="16"/>
    </row>
    <row r="60" spans="1:14" x14ac:dyDescent="0.3">
      <c r="A60" s="106"/>
      <c r="B60" s="107"/>
      <c r="C60" s="107"/>
      <c r="D60" s="114"/>
      <c r="F60" s="103"/>
      <c r="G60" s="104"/>
      <c r="H60" s="109"/>
      <c r="I60" s="189"/>
      <c r="J60" s="189"/>
      <c r="K60" s="189"/>
      <c r="L60" s="189"/>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78" t="s">
        <v>56</v>
      </c>
      <c r="B65" s="179"/>
      <c r="C65" s="179"/>
      <c r="D65" s="96">
        <f>SUM(Pest_53[Amount])</f>
        <v>0</v>
      </c>
      <c r="F65" s="173" t="s">
        <v>33</v>
      </c>
      <c r="G65" s="174"/>
      <c r="H65" s="174"/>
    </row>
    <row r="66" spans="1:8" x14ac:dyDescent="0.3">
      <c r="F66" s="173"/>
      <c r="G66" s="174"/>
      <c r="H66" s="174"/>
    </row>
    <row r="67" spans="1:8" ht="17.399999999999999" x14ac:dyDescent="0.3">
      <c r="A67" s="198" t="s">
        <v>69</v>
      </c>
      <c r="B67" s="198"/>
      <c r="C67" s="198"/>
      <c r="D67" s="198"/>
      <c r="E67" s="17"/>
      <c r="F67" s="183" t="s">
        <v>57</v>
      </c>
      <c r="G67" s="184"/>
      <c r="H67" s="185"/>
    </row>
    <row r="68" spans="1:8" x14ac:dyDescent="0.3">
      <c r="A68" s="21" t="s">
        <v>21</v>
      </c>
      <c r="B68" s="22" t="s">
        <v>22</v>
      </c>
      <c r="C68" s="22" t="s">
        <v>23</v>
      </c>
      <c r="D68" s="23" t="s">
        <v>25</v>
      </c>
      <c r="E68" s="24"/>
      <c r="F68" s="186"/>
      <c r="G68" s="187"/>
      <c r="H68" s="188"/>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78" t="s">
        <v>58</v>
      </c>
      <c r="B84" s="179"/>
      <c r="C84" s="179"/>
      <c r="D84" s="96">
        <f>SUM(Garbage_53[Amount])</f>
        <v>0</v>
      </c>
      <c r="E84" s="34"/>
      <c r="F84" s="173" t="s">
        <v>33</v>
      </c>
      <c r="G84" s="174"/>
      <c r="H84" s="174"/>
    </row>
    <row r="85" spans="1:8" x14ac:dyDescent="0.3">
      <c r="A85" s="38"/>
      <c r="B85" s="38"/>
      <c r="C85" s="38"/>
      <c r="D85" s="39"/>
      <c r="E85" s="40"/>
      <c r="F85" s="173"/>
      <c r="G85" s="174"/>
      <c r="H85" s="174"/>
    </row>
    <row r="86" spans="1:8" ht="17.399999999999999" x14ac:dyDescent="0.3">
      <c r="A86" s="191" t="s">
        <v>59</v>
      </c>
      <c r="B86" s="192"/>
      <c r="C86" s="192"/>
      <c r="D86" s="193"/>
      <c r="E86" s="17"/>
      <c r="F86" s="183" t="s">
        <v>60</v>
      </c>
      <c r="G86" s="184"/>
      <c r="H86" s="185"/>
    </row>
    <row r="87" spans="1:8" x14ac:dyDescent="0.3">
      <c r="A87" s="21" t="s">
        <v>21</v>
      </c>
      <c r="B87" s="22" t="s">
        <v>22</v>
      </c>
      <c r="C87" s="22" t="s">
        <v>23</v>
      </c>
      <c r="D87" s="23" t="s">
        <v>25</v>
      </c>
      <c r="E87" s="41"/>
      <c r="F87" s="186"/>
      <c r="G87" s="187"/>
      <c r="H87" s="188"/>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78" t="s">
        <v>61</v>
      </c>
      <c r="B103" s="179"/>
      <c r="C103" s="179"/>
      <c r="D103" s="96">
        <f>SUM(Boarding_53[Amount])</f>
        <v>0</v>
      </c>
      <c r="E103" s="34"/>
      <c r="F103" s="173" t="s">
        <v>33</v>
      </c>
      <c r="G103" s="174"/>
      <c r="H103" s="174"/>
    </row>
    <row r="104" spans="1:8" x14ac:dyDescent="0.3">
      <c r="A104" s="38"/>
      <c r="B104" s="38"/>
      <c r="C104" s="38"/>
      <c r="D104" s="39"/>
      <c r="E104" s="40"/>
      <c r="F104" s="173"/>
      <c r="G104" s="174"/>
      <c r="H104" s="174"/>
    </row>
    <row r="105" spans="1:8" ht="17.399999999999999" x14ac:dyDescent="0.3">
      <c r="A105" s="191" t="s">
        <v>70</v>
      </c>
      <c r="B105" s="192"/>
      <c r="C105" s="192"/>
      <c r="D105" s="193"/>
      <c r="E105" s="17"/>
      <c r="F105" s="183" t="s">
        <v>62</v>
      </c>
      <c r="G105" s="184"/>
      <c r="H105" s="185"/>
    </row>
    <row r="106" spans="1:8" x14ac:dyDescent="0.3">
      <c r="A106" s="21" t="s">
        <v>21</v>
      </c>
      <c r="B106" s="22" t="s">
        <v>22</v>
      </c>
      <c r="C106" s="22" t="s">
        <v>23</v>
      </c>
      <c r="D106" s="23" t="s">
        <v>25</v>
      </c>
      <c r="E106" s="41"/>
      <c r="F106" s="186"/>
      <c r="G106" s="187"/>
      <c r="H106" s="188"/>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78" t="s">
        <v>63</v>
      </c>
      <c r="B122" s="179"/>
      <c r="C122" s="179"/>
      <c r="D122" s="96">
        <f>SUM(Fence_53[Amount])</f>
        <v>0</v>
      </c>
      <c r="E122" s="34"/>
      <c r="F122" s="173" t="s">
        <v>33</v>
      </c>
      <c r="G122" s="174"/>
      <c r="H122" s="174"/>
    </row>
    <row r="123" spans="1:8" x14ac:dyDescent="0.3">
      <c r="F123" s="173"/>
      <c r="G123" s="174"/>
      <c r="H123" s="174"/>
    </row>
    <row r="124" spans="1:8" ht="17.399999999999999" x14ac:dyDescent="0.3">
      <c r="A124" s="191" t="s">
        <v>26</v>
      </c>
      <c r="B124" s="192"/>
      <c r="C124" s="192"/>
      <c r="D124" s="193"/>
      <c r="E124" s="17"/>
      <c r="F124" s="183" t="s">
        <v>11</v>
      </c>
      <c r="G124" s="184"/>
      <c r="H124" s="185"/>
    </row>
    <row r="125" spans="1:8" x14ac:dyDescent="0.3">
      <c r="A125" s="21" t="s">
        <v>21</v>
      </c>
      <c r="B125" s="22" t="s">
        <v>22</v>
      </c>
      <c r="C125" s="22" t="s">
        <v>23</v>
      </c>
      <c r="D125" s="23" t="s">
        <v>25</v>
      </c>
      <c r="E125" s="41"/>
      <c r="F125" s="186"/>
      <c r="G125" s="187"/>
      <c r="H125" s="188"/>
    </row>
    <row r="126" spans="1:8" x14ac:dyDescent="0.3">
      <c r="A126" s="100"/>
      <c r="B126" s="101"/>
      <c r="C126" s="101"/>
      <c r="D126" s="112">
        <v>25850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78" t="s">
        <v>27</v>
      </c>
      <c r="B141" s="179"/>
      <c r="C141" s="179"/>
      <c r="D141" s="96">
        <f>SUM(Demolition_53[Amount])</f>
        <v>25850</v>
      </c>
      <c r="E141" s="34"/>
      <c r="F141" s="173" t="s">
        <v>33</v>
      </c>
      <c r="G141" s="174"/>
      <c r="H141" s="174"/>
    </row>
    <row r="142" spans="1:8" x14ac:dyDescent="0.3">
      <c r="A142" s="38"/>
      <c r="B142" s="38"/>
      <c r="C142" s="38"/>
      <c r="D142" s="39"/>
      <c r="E142" s="40"/>
      <c r="F142" s="173"/>
      <c r="G142" s="174"/>
      <c r="H142" s="174"/>
    </row>
    <row r="143" spans="1:8" ht="17.399999999999999" x14ac:dyDescent="0.3">
      <c r="A143" s="191" t="s">
        <v>64</v>
      </c>
      <c r="B143" s="192"/>
      <c r="C143" s="192"/>
      <c r="D143" s="193"/>
      <c r="E143" s="17"/>
      <c r="F143" s="183" t="s">
        <v>44</v>
      </c>
      <c r="G143" s="184"/>
      <c r="H143" s="185"/>
    </row>
    <row r="144" spans="1:8" x14ac:dyDescent="0.3">
      <c r="A144" s="21" t="s">
        <v>21</v>
      </c>
      <c r="B144" s="22" t="s">
        <v>22</v>
      </c>
      <c r="C144" s="22" t="s">
        <v>23</v>
      </c>
      <c r="D144" s="23" t="s">
        <v>25</v>
      </c>
      <c r="E144" s="41"/>
      <c r="F144" s="186"/>
      <c r="G144" s="187"/>
      <c r="H144" s="188"/>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78" t="s">
        <v>65</v>
      </c>
      <c r="B160" s="179"/>
      <c r="C160" s="179"/>
      <c r="D160" s="96">
        <f>SUM(Rehab_53[Amount])</f>
        <v>0</v>
      </c>
      <c r="E160" s="34"/>
      <c r="F160" s="173" t="s">
        <v>33</v>
      </c>
      <c r="G160" s="174"/>
      <c r="H160" s="174"/>
    </row>
    <row r="161" spans="6:8" x14ac:dyDescent="0.3">
      <c r="F161" s="173"/>
      <c r="G161" s="174"/>
      <c r="H161" s="174"/>
    </row>
  </sheetData>
  <sheetProtection algorithmName="SHA-512" hashValue="cCiKyfVsFd8Huv75TxKO4Lx+Boi2/JBGDRA89DeOZ40H3ybXEYymTfmJx5ALztuYRXqxCDUkvDTzFcfZUCpbhA==" saltValue="kQfqi9B+LZOfgNMGsLgiYQ=="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pageSetUpPr fitToPage="1"/>
  </sheetPr>
  <dimension ref="A1:N161"/>
  <sheetViews>
    <sheetView showGridLines="0" zoomScaleNormal="100" workbookViewId="0">
      <pane ySplit="9" topLeftCell="A112"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5" t="s">
        <v>24</v>
      </c>
      <c r="B1" s="175"/>
      <c r="C1" s="175"/>
      <c r="D1" s="175"/>
      <c r="E1" s="1"/>
      <c r="F1" s="2"/>
      <c r="G1" s="2"/>
      <c r="H1" s="1"/>
    </row>
    <row r="2" spans="1:14" ht="24.9" customHeight="1" x14ac:dyDescent="0.3">
      <c r="A2" s="176" t="s">
        <v>71</v>
      </c>
      <c r="B2" s="176"/>
      <c r="C2" s="176"/>
      <c r="D2" s="176"/>
      <c r="E2" s="4"/>
      <c r="F2" s="120"/>
      <c r="G2" s="120"/>
      <c r="H2" s="5"/>
    </row>
    <row r="3" spans="1:14" ht="31.5" customHeight="1" x14ac:dyDescent="0.3">
      <c r="A3" s="176"/>
      <c r="B3" s="176"/>
      <c r="C3" s="176"/>
      <c r="D3" s="176"/>
      <c r="E3" s="4"/>
      <c r="F3" s="120"/>
      <c r="G3" s="120"/>
      <c r="H3" s="5"/>
    </row>
    <row r="4" spans="1:14" ht="15" customHeight="1" x14ac:dyDescent="0.25">
      <c r="A4" s="75" t="s">
        <v>19</v>
      </c>
      <c r="B4" s="194" t="str">
        <f>IF('Summary Sheet'!B86="","",'Summary Sheet'!B86)</f>
        <v>2274 S BLUE ISLAND AVE</v>
      </c>
      <c r="C4" s="194"/>
      <c r="D4" s="120"/>
      <c r="E4" s="4"/>
      <c r="F4" s="120"/>
      <c r="G4" s="120"/>
      <c r="H4" s="5"/>
    </row>
    <row r="5" spans="1:14" ht="15" customHeight="1" x14ac:dyDescent="0.25">
      <c r="A5" s="75" t="s">
        <v>20</v>
      </c>
      <c r="B5" s="195" t="str">
        <f>IF('Summary Sheet'!C86="","",'Summary Sheet'!C86)</f>
        <v/>
      </c>
      <c r="C5" s="195"/>
      <c r="D5" s="120"/>
      <c r="E5" s="4"/>
      <c r="F5" s="120"/>
      <c r="G5" s="120"/>
      <c r="H5" s="5"/>
    </row>
    <row r="6" spans="1:14" ht="15" customHeight="1" x14ac:dyDescent="0.25">
      <c r="A6" s="75" t="s">
        <v>36</v>
      </c>
      <c r="B6" s="177"/>
      <c r="C6" s="177"/>
      <c r="D6" s="6"/>
      <c r="E6" s="7"/>
    </row>
    <row r="7" spans="1:14" ht="15" customHeight="1" x14ac:dyDescent="0.25">
      <c r="A7" s="7"/>
      <c r="B7" s="196" t="s">
        <v>34</v>
      </c>
      <c r="C7" s="196"/>
      <c r="D7" s="10"/>
    </row>
    <row r="8" spans="1:14" ht="20.100000000000001" customHeight="1" x14ac:dyDescent="0.25">
      <c r="B8" s="11"/>
      <c r="C8" s="11"/>
      <c r="D8" s="12" t="s">
        <v>31</v>
      </c>
      <c r="F8" s="180" t="s">
        <v>32</v>
      </c>
      <c r="G8" s="181"/>
      <c r="H8" s="182"/>
    </row>
    <row r="9" spans="1:14" s="14" customFormat="1" ht="20.100000000000001" customHeight="1" x14ac:dyDescent="0.25">
      <c r="A9" s="197"/>
      <c r="B9" s="197"/>
      <c r="C9" s="197"/>
      <c r="D9" s="13">
        <f>SUM(D27,D46,D65,D84,D103,D122,D141,D160)</f>
        <v>41510</v>
      </c>
      <c r="F9" s="15" t="s">
        <v>28</v>
      </c>
      <c r="G9" s="15" t="s">
        <v>29</v>
      </c>
      <c r="H9" s="15" t="s">
        <v>30</v>
      </c>
      <c r="I9" s="16"/>
      <c r="J9" s="16"/>
      <c r="K9" s="16"/>
      <c r="L9" s="16"/>
      <c r="M9" s="16"/>
      <c r="N9" s="16"/>
    </row>
    <row r="10" spans="1:14" s="17" customFormat="1" ht="23.1" customHeight="1" x14ac:dyDescent="0.3">
      <c r="A10" s="198" t="s">
        <v>51</v>
      </c>
      <c r="B10" s="198"/>
      <c r="C10" s="198"/>
      <c r="D10" s="198"/>
      <c r="F10" s="183" t="s">
        <v>66</v>
      </c>
      <c r="G10" s="184"/>
      <c r="H10" s="185"/>
      <c r="I10" s="18"/>
      <c r="J10" s="18"/>
      <c r="K10" s="18"/>
      <c r="L10" s="18"/>
      <c r="M10" s="19"/>
      <c r="N10" s="20"/>
    </row>
    <row r="11" spans="1:14" s="24" customFormat="1" ht="12.75" customHeight="1" x14ac:dyDescent="0.25">
      <c r="A11" s="21" t="s">
        <v>21</v>
      </c>
      <c r="B11" s="22" t="s">
        <v>22</v>
      </c>
      <c r="C11" s="22" t="s">
        <v>23</v>
      </c>
      <c r="D11" s="23" t="s">
        <v>25</v>
      </c>
      <c r="F11" s="186"/>
      <c r="G11" s="187"/>
      <c r="H11" s="188"/>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78" t="s">
        <v>53</v>
      </c>
      <c r="B27" s="179"/>
      <c r="C27" s="179"/>
      <c r="D27" s="96">
        <f>SUM(Grass_54[Amount])</f>
        <v>0</v>
      </c>
      <c r="F27" s="173" t="s">
        <v>33</v>
      </c>
      <c r="G27" s="174"/>
      <c r="H27" s="174"/>
      <c r="I27" s="35"/>
      <c r="J27" s="35"/>
      <c r="K27" s="35"/>
      <c r="L27" s="35"/>
      <c r="M27" s="36"/>
      <c r="N27" s="37"/>
    </row>
    <row r="28" spans="1:14" s="40" customFormat="1" ht="11.1" customHeight="1" x14ac:dyDescent="0.3">
      <c r="A28" s="38"/>
      <c r="B28" s="38"/>
      <c r="C28" s="38"/>
      <c r="D28" s="39"/>
      <c r="F28" s="173"/>
      <c r="G28" s="174"/>
      <c r="H28" s="174"/>
      <c r="I28" s="35"/>
      <c r="J28" s="35"/>
      <c r="K28" s="35"/>
      <c r="L28" s="35"/>
      <c r="M28" s="36"/>
      <c r="N28" s="37"/>
    </row>
    <row r="29" spans="1:14" s="17" customFormat="1" ht="23.1" customHeight="1" x14ac:dyDescent="0.3">
      <c r="A29" s="191" t="s">
        <v>67</v>
      </c>
      <c r="B29" s="192"/>
      <c r="C29" s="192"/>
      <c r="D29" s="193"/>
      <c r="F29" s="183" t="s">
        <v>52</v>
      </c>
      <c r="G29" s="184"/>
      <c r="H29" s="185"/>
      <c r="I29" s="18"/>
      <c r="J29" s="18"/>
      <c r="K29" s="18"/>
      <c r="L29" s="18"/>
      <c r="M29" s="19"/>
      <c r="N29" s="20"/>
    </row>
    <row r="30" spans="1:14" s="41" customFormat="1" ht="12.75" customHeight="1" x14ac:dyDescent="0.25">
      <c r="A30" s="21" t="s">
        <v>21</v>
      </c>
      <c r="B30" s="22" t="s">
        <v>22</v>
      </c>
      <c r="C30" s="22" t="s">
        <v>23</v>
      </c>
      <c r="D30" s="23" t="s">
        <v>25</v>
      </c>
      <c r="F30" s="186"/>
      <c r="G30" s="187"/>
      <c r="H30" s="188"/>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19"/>
      <c r="J44" s="29"/>
      <c r="K44" s="29"/>
      <c r="L44" s="119"/>
      <c r="M44" s="30"/>
      <c r="N44" s="16"/>
    </row>
    <row r="45" spans="1:14" x14ac:dyDescent="0.3">
      <c r="A45" s="106"/>
      <c r="B45" s="107"/>
      <c r="C45" s="107"/>
      <c r="D45" s="114"/>
      <c r="F45" s="103"/>
      <c r="G45" s="104"/>
      <c r="H45" s="109"/>
      <c r="I45" s="119"/>
      <c r="J45" s="29"/>
      <c r="K45" s="29"/>
      <c r="L45" s="119"/>
      <c r="M45" s="30"/>
      <c r="N45" s="16"/>
    </row>
    <row r="46" spans="1:14" s="34" customFormat="1" x14ac:dyDescent="0.3">
      <c r="A46" s="178" t="s">
        <v>54</v>
      </c>
      <c r="B46" s="179"/>
      <c r="C46" s="179"/>
      <c r="D46" s="96">
        <f>SUM(Tree_54[Amount])</f>
        <v>0</v>
      </c>
      <c r="F46" s="173" t="s">
        <v>33</v>
      </c>
      <c r="G46" s="174"/>
      <c r="H46" s="174"/>
      <c r="I46" s="43"/>
      <c r="J46" s="43"/>
      <c r="K46" s="43"/>
      <c r="L46" s="43"/>
      <c r="M46" s="36"/>
      <c r="N46" s="37"/>
    </row>
    <row r="47" spans="1:14" s="40" customFormat="1" ht="11.1" customHeight="1" x14ac:dyDescent="0.3">
      <c r="A47" s="38"/>
      <c r="B47" s="38"/>
      <c r="C47" s="38"/>
      <c r="D47" s="39"/>
      <c r="F47" s="173"/>
      <c r="G47" s="174"/>
      <c r="H47" s="174"/>
      <c r="I47" s="43"/>
      <c r="J47" s="43"/>
      <c r="K47" s="43"/>
      <c r="L47" s="43"/>
      <c r="M47" s="36"/>
      <c r="N47" s="37"/>
    </row>
    <row r="48" spans="1:14" s="17" customFormat="1" ht="23.1" customHeight="1" x14ac:dyDescent="0.3">
      <c r="A48" s="191" t="s">
        <v>68</v>
      </c>
      <c r="B48" s="192"/>
      <c r="C48" s="192"/>
      <c r="D48" s="193"/>
      <c r="F48" s="183" t="s">
        <v>55</v>
      </c>
      <c r="G48" s="184"/>
      <c r="H48" s="185"/>
      <c r="I48" s="44"/>
      <c r="J48" s="44"/>
      <c r="K48" s="44"/>
      <c r="L48" s="44"/>
      <c r="M48" s="19"/>
      <c r="N48" s="20"/>
    </row>
    <row r="49" spans="1:14" s="41" customFormat="1" ht="12.75" customHeight="1" x14ac:dyDescent="0.25">
      <c r="A49" s="21" t="s">
        <v>21</v>
      </c>
      <c r="B49" s="22" t="s">
        <v>22</v>
      </c>
      <c r="C49" s="22" t="s">
        <v>23</v>
      </c>
      <c r="D49" s="23" t="s">
        <v>25</v>
      </c>
      <c r="F49" s="186"/>
      <c r="G49" s="187"/>
      <c r="H49" s="188"/>
      <c r="I49" s="119"/>
      <c r="J49" s="119"/>
      <c r="K49" s="119"/>
      <c r="L49" s="119"/>
      <c r="M49" s="30"/>
      <c r="N49" s="42"/>
    </row>
    <row r="50" spans="1:14" x14ac:dyDescent="0.3">
      <c r="A50" s="100"/>
      <c r="B50" s="101"/>
      <c r="C50" s="101"/>
      <c r="D50" s="112"/>
      <c r="F50" s="103"/>
      <c r="G50" s="104"/>
      <c r="H50" s="109"/>
      <c r="I50" s="119"/>
      <c r="J50" s="119"/>
      <c r="K50" s="119"/>
      <c r="L50" s="119"/>
      <c r="M50" s="30"/>
      <c r="N50" s="16"/>
    </row>
    <row r="51" spans="1:14" x14ac:dyDescent="0.3">
      <c r="A51" s="106"/>
      <c r="B51" s="107"/>
      <c r="C51" s="107"/>
      <c r="D51" s="113"/>
      <c r="F51" s="103"/>
      <c r="G51" s="104"/>
      <c r="H51" s="109"/>
      <c r="I51" s="119"/>
      <c r="J51" s="119"/>
      <c r="K51" s="119"/>
      <c r="L51" s="119"/>
      <c r="M51" s="30"/>
      <c r="N51" s="16"/>
    </row>
    <row r="52" spans="1:14" x14ac:dyDescent="0.3">
      <c r="A52" s="106"/>
      <c r="B52" s="107"/>
      <c r="C52" s="107"/>
      <c r="D52" s="114"/>
      <c r="F52" s="103"/>
      <c r="H52" s="109"/>
      <c r="I52" s="119"/>
      <c r="J52" s="119"/>
      <c r="K52" s="119"/>
      <c r="L52" s="119"/>
      <c r="M52" s="30"/>
      <c r="N52" s="16"/>
    </row>
    <row r="53" spans="1:14" x14ac:dyDescent="0.3">
      <c r="A53" s="106"/>
      <c r="B53" s="107"/>
      <c r="C53" s="107"/>
      <c r="D53" s="113"/>
      <c r="F53" s="103"/>
      <c r="G53" s="104"/>
      <c r="H53" s="109"/>
      <c r="I53" s="119"/>
      <c r="J53" s="119"/>
      <c r="K53" s="119"/>
      <c r="L53" s="119"/>
      <c r="M53" s="30"/>
      <c r="N53" s="16"/>
    </row>
    <row r="54" spans="1:14" x14ac:dyDescent="0.3">
      <c r="A54" s="106"/>
      <c r="B54" s="107"/>
      <c r="C54" s="107"/>
      <c r="D54" s="114"/>
      <c r="F54" s="103"/>
      <c r="G54" s="104"/>
      <c r="H54" s="109"/>
      <c r="I54" s="119"/>
      <c r="J54" s="119"/>
      <c r="K54" s="119"/>
      <c r="L54" s="119"/>
      <c r="M54" s="30"/>
      <c r="N54" s="16"/>
    </row>
    <row r="55" spans="1:14" x14ac:dyDescent="0.3">
      <c r="A55" s="106"/>
      <c r="B55" s="107"/>
      <c r="C55" s="107"/>
      <c r="D55" s="113"/>
      <c r="F55" s="103"/>
      <c r="G55" s="104"/>
      <c r="H55" s="109"/>
      <c r="I55" s="119"/>
      <c r="J55" s="119"/>
      <c r="K55" s="119"/>
      <c r="L55" s="119"/>
      <c r="M55" s="30"/>
      <c r="N55" s="16"/>
    </row>
    <row r="56" spans="1:14" x14ac:dyDescent="0.3">
      <c r="A56" s="106"/>
      <c r="B56" s="107"/>
      <c r="C56" s="107"/>
      <c r="D56" s="114"/>
      <c r="F56" s="103"/>
      <c r="G56" s="104"/>
      <c r="H56" s="109"/>
      <c r="I56" s="119"/>
      <c r="J56" s="119"/>
      <c r="K56" s="119"/>
      <c r="L56" s="119"/>
      <c r="M56" s="30"/>
      <c r="N56" s="16"/>
    </row>
    <row r="57" spans="1:14" x14ac:dyDescent="0.3">
      <c r="A57" s="106"/>
      <c r="B57" s="107"/>
      <c r="C57" s="107"/>
      <c r="D57" s="113"/>
      <c r="F57" s="103"/>
      <c r="G57" s="104"/>
      <c r="H57" s="109"/>
      <c r="I57" s="119"/>
      <c r="J57" s="119"/>
      <c r="K57" s="119"/>
      <c r="L57" s="119"/>
      <c r="M57" s="30"/>
      <c r="N57" s="16"/>
    </row>
    <row r="58" spans="1:14" x14ac:dyDescent="0.3">
      <c r="A58" s="106"/>
      <c r="B58" s="107"/>
      <c r="C58" s="107"/>
      <c r="D58" s="114"/>
      <c r="F58" s="103"/>
      <c r="G58" s="104"/>
      <c r="H58" s="109"/>
      <c r="I58" s="119"/>
      <c r="J58" s="119"/>
      <c r="K58" s="119"/>
      <c r="L58" s="119"/>
      <c r="M58" s="30"/>
      <c r="N58" s="16"/>
    </row>
    <row r="59" spans="1:14" x14ac:dyDescent="0.3">
      <c r="A59" s="106"/>
      <c r="B59" s="107"/>
      <c r="C59" s="107"/>
      <c r="D59" s="113"/>
      <c r="F59" s="103"/>
      <c r="G59" s="104"/>
      <c r="H59" s="109"/>
      <c r="I59" s="119"/>
      <c r="J59" s="190"/>
      <c r="K59" s="190"/>
      <c r="L59" s="119"/>
      <c r="M59" s="30"/>
      <c r="N59" s="16"/>
    </row>
    <row r="60" spans="1:14" x14ac:dyDescent="0.3">
      <c r="A60" s="106"/>
      <c r="B60" s="107"/>
      <c r="C60" s="107"/>
      <c r="D60" s="114"/>
      <c r="F60" s="103"/>
      <c r="G60" s="104"/>
      <c r="H60" s="109"/>
      <c r="I60" s="189"/>
      <c r="J60" s="189"/>
      <c r="K60" s="189"/>
      <c r="L60" s="189"/>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78" t="s">
        <v>56</v>
      </c>
      <c r="B65" s="179"/>
      <c r="C65" s="179"/>
      <c r="D65" s="96">
        <f>SUM(Pest_54[Amount])</f>
        <v>0</v>
      </c>
      <c r="F65" s="173" t="s">
        <v>33</v>
      </c>
      <c r="G65" s="174"/>
      <c r="H65" s="174"/>
    </row>
    <row r="66" spans="1:8" x14ac:dyDescent="0.3">
      <c r="F66" s="173"/>
      <c r="G66" s="174"/>
      <c r="H66" s="174"/>
    </row>
    <row r="67" spans="1:8" ht="17.399999999999999" x14ac:dyDescent="0.3">
      <c r="A67" s="198" t="s">
        <v>69</v>
      </c>
      <c r="B67" s="198"/>
      <c r="C67" s="198"/>
      <c r="D67" s="198"/>
      <c r="E67" s="17"/>
      <c r="F67" s="183" t="s">
        <v>57</v>
      </c>
      <c r="G67" s="184"/>
      <c r="H67" s="185"/>
    </row>
    <row r="68" spans="1:8" x14ac:dyDescent="0.3">
      <c r="A68" s="21" t="s">
        <v>21</v>
      </c>
      <c r="B68" s="22" t="s">
        <v>22</v>
      </c>
      <c r="C68" s="22" t="s">
        <v>23</v>
      </c>
      <c r="D68" s="23" t="s">
        <v>25</v>
      </c>
      <c r="E68" s="24"/>
      <c r="F68" s="186"/>
      <c r="G68" s="187"/>
      <c r="H68" s="188"/>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78" t="s">
        <v>58</v>
      </c>
      <c r="B84" s="179"/>
      <c r="C84" s="179"/>
      <c r="D84" s="96">
        <f>SUM(Garbage_54[Amount])</f>
        <v>0</v>
      </c>
      <c r="E84" s="34"/>
      <c r="F84" s="173" t="s">
        <v>33</v>
      </c>
      <c r="G84" s="174"/>
      <c r="H84" s="174"/>
    </row>
    <row r="85" spans="1:8" x14ac:dyDescent="0.3">
      <c r="A85" s="38"/>
      <c r="B85" s="38"/>
      <c r="C85" s="38"/>
      <c r="D85" s="39"/>
      <c r="E85" s="40"/>
      <c r="F85" s="173"/>
      <c r="G85" s="174"/>
      <c r="H85" s="174"/>
    </row>
    <row r="86" spans="1:8" ht="17.399999999999999" x14ac:dyDescent="0.3">
      <c r="A86" s="191" t="s">
        <v>59</v>
      </c>
      <c r="B86" s="192"/>
      <c r="C86" s="192"/>
      <c r="D86" s="193"/>
      <c r="E86" s="17"/>
      <c r="F86" s="183" t="s">
        <v>60</v>
      </c>
      <c r="G86" s="184"/>
      <c r="H86" s="185"/>
    </row>
    <row r="87" spans="1:8" x14ac:dyDescent="0.3">
      <c r="A87" s="21" t="s">
        <v>21</v>
      </c>
      <c r="B87" s="22" t="s">
        <v>22</v>
      </c>
      <c r="C87" s="22" t="s">
        <v>23</v>
      </c>
      <c r="D87" s="23" t="s">
        <v>25</v>
      </c>
      <c r="E87" s="41"/>
      <c r="F87" s="186"/>
      <c r="G87" s="187"/>
      <c r="H87" s="188"/>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78" t="s">
        <v>61</v>
      </c>
      <c r="B103" s="179"/>
      <c r="C103" s="179"/>
      <c r="D103" s="96">
        <f>SUM(Boarding_54[Amount])</f>
        <v>0</v>
      </c>
      <c r="E103" s="34"/>
      <c r="F103" s="173" t="s">
        <v>33</v>
      </c>
      <c r="G103" s="174"/>
      <c r="H103" s="174"/>
    </row>
    <row r="104" spans="1:8" x14ac:dyDescent="0.3">
      <c r="A104" s="38"/>
      <c r="B104" s="38"/>
      <c r="C104" s="38"/>
      <c r="D104" s="39"/>
      <c r="E104" s="40"/>
      <c r="F104" s="173"/>
      <c r="G104" s="174"/>
      <c r="H104" s="174"/>
    </row>
    <row r="105" spans="1:8" ht="17.399999999999999" x14ac:dyDescent="0.3">
      <c r="A105" s="191" t="s">
        <v>70</v>
      </c>
      <c r="B105" s="192"/>
      <c r="C105" s="192"/>
      <c r="D105" s="193"/>
      <c r="E105" s="17"/>
      <c r="F105" s="183" t="s">
        <v>62</v>
      </c>
      <c r="G105" s="184"/>
      <c r="H105" s="185"/>
    </row>
    <row r="106" spans="1:8" x14ac:dyDescent="0.3">
      <c r="A106" s="21" t="s">
        <v>21</v>
      </c>
      <c r="B106" s="22" t="s">
        <v>22</v>
      </c>
      <c r="C106" s="22" t="s">
        <v>23</v>
      </c>
      <c r="D106" s="23" t="s">
        <v>25</v>
      </c>
      <c r="E106" s="41"/>
      <c r="F106" s="186"/>
      <c r="G106" s="187"/>
      <c r="H106" s="188"/>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78" t="s">
        <v>63</v>
      </c>
      <c r="B122" s="179"/>
      <c r="C122" s="179"/>
      <c r="D122" s="96">
        <f>SUM(Fence_54[Amount])</f>
        <v>0</v>
      </c>
      <c r="E122" s="34"/>
      <c r="F122" s="173" t="s">
        <v>33</v>
      </c>
      <c r="G122" s="174"/>
      <c r="H122" s="174"/>
    </row>
    <row r="123" spans="1:8" x14ac:dyDescent="0.3">
      <c r="F123" s="173"/>
      <c r="G123" s="174"/>
      <c r="H123" s="174"/>
    </row>
    <row r="124" spans="1:8" ht="17.399999999999999" x14ac:dyDescent="0.3">
      <c r="A124" s="191" t="s">
        <v>26</v>
      </c>
      <c r="B124" s="192"/>
      <c r="C124" s="192"/>
      <c r="D124" s="193"/>
      <c r="E124" s="17"/>
      <c r="F124" s="183" t="s">
        <v>11</v>
      </c>
      <c r="G124" s="184"/>
      <c r="H124" s="185"/>
    </row>
    <row r="125" spans="1:8" x14ac:dyDescent="0.3">
      <c r="A125" s="21" t="s">
        <v>21</v>
      </c>
      <c r="B125" s="22" t="s">
        <v>22</v>
      </c>
      <c r="C125" s="22" t="s">
        <v>23</v>
      </c>
      <c r="D125" s="23" t="s">
        <v>25</v>
      </c>
      <c r="E125" s="41"/>
      <c r="F125" s="186"/>
      <c r="G125" s="187"/>
      <c r="H125" s="188"/>
    </row>
    <row r="126" spans="1:8" x14ac:dyDescent="0.3">
      <c r="A126" s="100"/>
      <c r="B126" s="101"/>
      <c r="C126" s="101"/>
      <c r="D126" s="112">
        <v>41510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78" t="s">
        <v>27</v>
      </c>
      <c r="B141" s="179"/>
      <c r="C141" s="179"/>
      <c r="D141" s="96">
        <f>SUM(Demolition_54[Amount])</f>
        <v>41510</v>
      </c>
      <c r="E141" s="34"/>
      <c r="F141" s="173" t="s">
        <v>33</v>
      </c>
      <c r="G141" s="174"/>
      <c r="H141" s="174"/>
    </row>
    <row r="142" spans="1:8" x14ac:dyDescent="0.3">
      <c r="A142" s="38"/>
      <c r="B142" s="38"/>
      <c r="C142" s="38"/>
      <c r="D142" s="39"/>
      <c r="E142" s="40"/>
      <c r="F142" s="173"/>
      <c r="G142" s="174"/>
      <c r="H142" s="174"/>
    </row>
    <row r="143" spans="1:8" ht="17.399999999999999" x14ac:dyDescent="0.3">
      <c r="A143" s="191" t="s">
        <v>64</v>
      </c>
      <c r="B143" s="192"/>
      <c r="C143" s="192"/>
      <c r="D143" s="193"/>
      <c r="E143" s="17"/>
      <c r="F143" s="183" t="s">
        <v>44</v>
      </c>
      <c r="G143" s="184"/>
      <c r="H143" s="185"/>
    </row>
    <row r="144" spans="1:8" x14ac:dyDescent="0.3">
      <c r="A144" s="21" t="s">
        <v>21</v>
      </c>
      <c r="B144" s="22" t="s">
        <v>22</v>
      </c>
      <c r="C144" s="22" t="s">
        <v>23</v>
      </c>
      <c r="D144" s="23" t="s">
        <v>25</v>
      </c>
      <c r="E144" s="41"/>
      <c r="F144" s="186"/>
      <c r="G144" s="187"/>
      <c r="H144" s="188"/>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78" t="s">
        <v>65</v>
      </c>
      <c r="B160" s="179"/>
      <c r="C160" s="179"/>
      <c r="D160" s="96">
        <f>SUM(Rehab_54[Amount])</f>
        <v>0</v>
      </c>
      <c r="E160" s="34"/>
      <c r="F160" s="173" t="s">
        <v>33</v>
      </c>
      <c r="G160" s="174"/>
      <c r="H160" s="174"/>
    </row>
    <row r="161" spans="6:8" x14ac:dyDescent="0.3">
      <c r="F161" s="173"/>
      <c r="G161" s="174"/>
      <c r="H161" s="174"/>
    </row>
  </sheetData>
  <sheetProtection algorithmName="SHA-512" hashValue="i3Eeoy3T2X3X0ADLHsI3h51+OomhnPimZXtByCcEqJAdWaL6mnrtCguazwY3WO5Q73GK2liqBA4U2qzlYBHvZQ==" saltValue="aFeNX6ZTcthtsL0AZfWhZw=="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pageSetUpPr fitToPage="1"/>
  </sheetPr>
  <dimension ref="A1:N161"/>
  <sheetViews>
    <sheetView showGridLines="0" zoomScaleNormal="100" workbookViewId="0">
      <pane ySplit="9" topLeftCell="A115"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5" t="s">
        <v>24</v>
      </c>
      <c r="B1" s="175"/>
      <c r="C1" s="175"/>
      <c r="D1" s="175"/>
      <c r="E1" s="1"/>
      <c r="F1" s="2"/>
      <c r="G1" s="2"/>
      <c r="H1" s="1"/>
    </row>
    <row r="2" spans="1:14" ht="24.9" customHeight="1" x14ac:dyDescent="0.3">
      <c r="A2" s="176" t="s">
        <v>71</v>
      </c>
      <c r="B2" s="176"/>
      <c r="C2" s="176"/>
      <c r="D2" s="176"/>
      <c r="E2" s="4"/>
      <c r="F2" s="120"/>
      <c r="G2" s="120"/>
      <c r="H2" s="5"/>
    </row>
    <row r="3" spans="1:14" ht="31.5" customHeight="1" x14ac:dyDescent="0.3">
      <c r="A3" s="176"/>
      <c r="B3" s="176"/>
      <c r="C3" s="176"/>
      <c r="D3" s="176"/>
      <c r="E3" s="4"/>
      <c r="F3" s="120"/>
      <c r="G3" s="120"/>
      <c r="H3" s="5"/>
    </row>
    <row r="4" spans="1:14" ht="15" customHeight="1" x14ac:dyDescent="0.25">
      <c r="A4" s="75" t="s">
        <v>19</v>
      </c>
      <c r="B4" s="194" t="str">
        <f>IF('Summary Sheet'!B87="","",'Summary Sheet'!B87)</f>
        <v>2276 S BLUE ISLAND AVE</v>
      </c>
      <c r="C4" s="194"/>
      <c r="D4" s="120"/>
      <c r="E4" s="4"/>
      <c r="F4" s="120"/>
      <c r="G4" s="120"/>
      <c r="H4" s="5"/>
    </row>
    <row r="5" spans="1:14" ht="15" customHeight="1" x14ac:dyDescent="0.25">
      <c r="A5" s="75" t="s">
        <v>20</v>
      </c>
      <c r="B5" s="195" t="str">
        <f>IF('Summary Sheet'!C87="","",'Summary Sheet'!C87)</f>
        <v/>
      </c>
      <c r="C5" s="195"/>
      <c r="D5" s="120"/>
      <c r="E5" s="4"/>
      <c r="F5" s="120"/>
      <c r="G5" s="120"/>
      <c r="H5" s="5"/>
    </row>
    <row r="6" spans="1:14" ht="15" customHeight="1" x14ac:dyDescent="0.25">
      <c r="A6" s="75" t="s">
        <v>36</v>
      </c>
      <c r="B6" s="177"/>
      <c r="C6" s="177"/>
      <c r="D6" s="6"/>
      <c r="E6" s="7"/>
    </row>
    <row r="7" spans="1:14" ht="15" customHeight="1" x14ac:dyDescent="0.25">
      <c r="A7" s="7"/>
      <c r="B7" s="196" t="s">
        <v>34</v>
      </c>
      <c r="C7" s="196"/>
      <c r="D7" s="10"/>
    </row>
    <row r="8" spans="1:14" ht="20.100000000000001" customHeight="1" x14ac:dyDescent="0.25">
      <c r="B8" s="11"/>
      <c r="C8" s="11"/>
      <c r="D8" s="12" t="s">
        <v>31</v>
      </c>
      <c r="F8" s="180" t="s">
        <v>32</v>
      </c>
      <c r="G8" s="181"/>
      <c r="H8" s="182"/>
    </row>
    <row r="9" spans="1:14" s="14" customFormat="1" ht="20.100000000000001" customHeight="1" x14ac:dyDescent="0.25">
      <c r="A9" s="197"/>
      <c r="B9" s="197"/>
      <c r="C9" s="197"/>
      <c r="D9" s="13">
        <f>SUM(D27,D46,D65,D84,D103,D122,D141,D160)</f>
        <v>45510</v>
      </c>
      <c r="F9" s="15" t="s">
        <v>28</v>
      </c>
      <c r="G9" s="15" t="s">
        <v>29</v>
      </c>
      <c r="H9" s="15" t="s">
        <v>30</v>
      </c>
      <c r="I9" s="16"/>
      <c r="J9" s="16"/>
      <c r="K9" s="16"/>
      <c r="L9" s="16"/>
      <c r="M9" s="16"/>
      <c r="N9" s="16"/>
    </row>
    <row r="10" spans="1:14" s="17" customFormat="1" ht="23.1" customHeight="1" x14ac:dyDescent="0.3">
      <c r="A10" s="198" t="s">
        <v>51</v>
      </c>
      <c r="B10" s="198"/>
      <c r="C10" s="198"/>
      <c r="D10" s="198"/>
      <c r="F10" s="183" t="s">
        <v>66</v>
      </c>
      <c r="G10" s="184"/>
      <c r="H10" s="185"/>
      <c r="I10" s="18"/>
      <c r="J10" s="18"/>
      <c r="K10" s="18"/>
      <c r="L10" s="18"/>
      <c r="M10" s="19"/>
      <c r="N10" s="20"/>
    </row>
    <row r="11" spans="1:14" s="24" customFormat="1" ht="12.75" customHeight="1" x14ac:dyDescent="0.25">
      <c r="A11" s="21" t="s">
        <v>21</v>
      </c>
      <c r="B11" s="22" t="s">
        <v>22</v>
      </c>
      <c r="C11" s="22" t="s">
        <v>23</v>
      </c>
      <c r="D11" s="23" t="s">
        <v>25</v>
      </c>
      <c r="F11" s="186"/>
      <c r="G11" s="187"/>
      <c r="H11" s="188"/>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78" t="s">
        <v>53</v>
      </c>
      <c r="B27" s="179"/>
      <c r="C27" s="179"/>
      <c r="D27" s="96">
        <f>SUM(Grass_55[Amount])</f>
        <v>0</v>
      </c>
      <c r="F27" s="173" t="s">
        <v>33</v>
      </c>
      <c r="G27" s="174"/>
      <c r="H27" s="174"/>
      <c r="I27" s="35"/>
      <c r="J27" s="35"/>
      <c r="K27" s="35"/>
      <c r="L27" s="35"/>
      <c r="M27" s="36"/>
      <c r="N27" s="37"/>
    </row>
    <row r="28" spans="1:14" s="40" customFormat="1" ht="11.1" customHeight="1" x14ac:dyDescent="0.3">
      <c r="A28" s="38"/>
      <c r="B28" s="38"/>
      <c r="C28" s="38"/>
      <c r="D28" s="39"/>
      <c r="F28" s="173"/>
      <c r="G28" s="174"/>
      <c r="H28" s="174"/>
      <c r="I28" s="35"/>
      <c r="J28" s="35"/>
      <c r="K28" s="35"/>
      <c r="L28" s="35"/>
      <c r="M28" s="36"/>
      <c r="N28" s="37"/>
    </row>
    <row r="29" spans="1:14" s="17" customFormat="1" ht="23.1" customHeight="1" x14ac:dyDescent="0.3">
      <c r="A29" s="191" t="s">
        <v>67</v>
      </c>
      <c r="B29" s="192"/>
      <c r="C29" s="192"/>
      <c r="D29" s="193"/>
      <c r="F29" s="183" t="s">
        <v>52</v>
      </c>
      <c r="G29" s="184"/>
      <c r="H29" s="185"/>
      <c r="I29" s="18"/>
      <c r="J29" s="18"/>
      <c r="K29" s="18"/>
      <c r="L29" s="18"/>
      <c r="M29" s="19"/>
      <c r="N29" s="20"/>
    </row>
    <row r="30" spans="1:14" s="41" customFormat="1" ht="12.75" customHeight="1" x14ac:dyDescent="0.25">
      <c r="A30" s="21" t="s">
        <v>21</v>
      </c>
      <c r="B30" s="22" t="s">
        <v>22</v>
      </c>
      <c r="C30" s="22" t="s">
        <v>23</v>
      </c>
      <c r="D30" s="23" t="s">
        <v>25</v>
      </c>
      <c r="F30" s="186"/>
      <c r="G30" s="187"/>
      <c r="H30" s="188"/>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19"/>
      <c r="J44" s="29"/>
      <c r="K44" s="29"/>
      <c r="L44" s="119"/>
      <c r="M44" s="30"/>
      <c r="N44" s="16"/>
    </row>
    <row r="45" spans="1:14" x14ac:dyDescent="0.3">
      <c r="A45" s="106"/>
      <c r="B45" s="107"/>
      <c r="C45" s="107"/>
      <c r="D45" s="114"/>
      <c r="F45" s="103"/>
      <c r="G45" s="104"/>
      <c r="H45" s="109"/>
      <c r="I45" s="119"/>
      <c r="J45" s="29"/>
      <c r="K45" s="29"/>
      <c r="L45" s="119"/>
      <c r="M45" s="30"/>
      <c r="N45" s="16"/>
    </row>
    <row r="46" spans="1:14" s="34" customFormat="1" x14ac:dyDescent="0.3">
      <c r="A46" s="178" t="s">
        <v>54</v>
      </c>
      <c r="B46" s="179"/>
      <c r="C46" s="179"/>
      <c r="D46" s="96">
        <f>SUM(Tree_55[Amount])</f>
        <v>0</v>
      </c>
      <c r="F46" s="173" t="s">
        <v>33</v>
      </c>
      <c r="G46" s="174"/>
      <c r="H46" s="174"/>
      <c r="I46" s="43"/>
      <c r="J46" s="43"/>
      <c r="K46" s="43"/>
      <c r="L46" s="43"/>
      <c r="M46" s="36"/>
      <c r="N46" s="37"/>
    </row>
    <row r="47" spans="1:14" s="40" customFormat="1" ht="11.1" customHeight="1" x14ac:dyDescent="0.3">
      <c r="A47" s="38"/>
      <c r="B47" s="38"/>
      <c r="C47" s="38"/>
      <c r="D47" s="39"/>
      <c r="F47" s="173"/>
      <c r="G47" s="174"/>
      <c r="H47" s="174"/>
      <c r="I47" s="43"/>
      <c r="J47" s="43"/>
      <c r="K47" s="43"/>
      <c r="L47" s="43"/>
      <c r="M47" s="36"/>
      <c r="N47" s="37"/>
    </row>
    <row r="48" spans="1:14" s="17" customFormat="1" ht="23.1" customHeight="1" x14ac:dyDescent="0.3">
      <c r="A48" s="191" t="s">
        <v>68</v>
      </c>
      <c r="B48" s="192"/>
      <c r="C48" s="192"/>
      <c r="D48" s="193"/>
      <c r="F48" s="183" t="s">
        <v>55</v>
      </c>
      <c r="G48" s="184"/>
      <c r="H48" s="185"/>
      <c r="I48" s="44"/>
      <c r="J48" s="44"/>
      <c r="K48" s="44"/>
      <c r="L48" s="44"/>
      <c r="M48" s="19"/>
      <c r="N48" s="20"/>
    </row>
    <row r="49" spans="1:14" s="41" customFormat="1" ht="12.75" customHeight="1" x14ac:dyDescent="0.25">
      <c r="A49" s="21" t="s">
        <v>21</v>
      </c>
      <c r="B49" s="22" t="s">
        <v>22</v>
      </c>
      <c r="C49" s="22" t="s">
        <v>23</v>
      </c>
      <c r="D49" s="23" t="s">
        <v>25</v>
      </c>
      <c r="F49" s="186"/>
      <c r="G49" s="187"/>
      <c r="H49" s="188"/>
      <c r="I49" s="119"/>
      <c r="J49" s="119"/>
      <c r="K49" s="119"/>
      <c r="L49" s="119"/>
      <c r="M49" s="30"/>
      <c r="N49" s="42"/>
    </row>
    <row r="50" spans="1:14" x14ac:dyDescent="0.3">
      <c r="A50" s="100"/>
      <c r="B50" s="101"/>
      <c r="C50" s="101"/>
      <c r="D50" s="112"/>
      <c r="F50" s="103"/>
      <c r="G50" s="104"/>
      <c r="H50" s="109"/>
      <c r="I50" s="119"/>
      <c r="J50" s="119"/>
      <c r="K50" s="119"/>
      <c r="L50" s="119"/>
      <c r="M50" s="30"/>
      <c r="N50" s="16"/>
    </row>
    <row r="51" spans="1:14" x14ac:dyDescent="0.3">
      <c r="A51" s="106"/>
      <c r="B51" s="107"/>
      <c r="C51" s="107"/>
      <c r="D51" s="113"/>
      <c r="F51" s="103"/>
      <c r="G51" s="104"/>
      <c r="H51" s="109"/>
      <c r="I51" s="119"/>
      <c r="J51" s="119"/>
      <c r="K51" s="119"/>
      <c r="L51" s="119"/>
      <c r="M51" s="30"/>
      <c r="N51" s="16"/>
    </row>
    <row r="52" spans="1:14" x14ac:dyDescent="0.3">
      <c r="A52" s="106"/>
      <c r="B52" s="107"/>
      <c r="C52" s="107"/>
      <c r="D52" s="114"/>
      <c r="F52" s="103"/>
      <c r="H52" s="109"/>
      <c r="I52" s="119"/>
      <c r="J52" s="119"/>
      <c r="K52" s="119"/>
      <c r="L52" s="119"/>
      <c r="M52" s="30"/>
      <c r="N52" s="16"/>
    </row>
    <row r="53" spans="1:14" x14ac:dyDescent="0.3">
      <c r="A53" s="106"/>
      <c r="B53" s="107"/>
      <c r="C53" s="107"/>
      <c r="D53" s="113"/>
      <c r="F53" s="103"/>
      <c r="G53" s="104"/>
      <c r="H53" s="109"/>
      <c r="I53" s="119"/>
      <c r="J53" s="119"/>
      <c r="K53" s="119"/>
      <c r="L53" s="119"/>
      <c r="M53" s="30"/>
      <c r="N53" s="16"/>
    </row>
    <row r="54" spans="1:14" x14ac:dyDescent="0.3">
      <c r="A54" s="106"/>
      <c r="B54" s="107"/>
      <c r="C54" s="107"/>
      <c r="D54" s="114"/>
      <c r="F54" s="103"/>
      <c r="G54" s="104"/>
      <c r="H54" s="109"/>
      <c r="I54" s="119"/>
      <c r="J54" s="119"/>
      <c r="K54" s="119"/>
      <c r="L54" s="119"/>
      <c r="M54" s="30"/>
      <c r="N54" s="16"/>
    </row>
    <row r="55" spans="1:14" x14ac:dyDescent="0.3">
      <c r="A55" s="106"/>
      <c r="B55" s="107"/>
      <c r="C55" s="107"/>
      <c r="D55" s="113"/>
      <c r="F55" s="103"/>
      <c r="G55" s="104"/>
      <c r="H55" s="109"/>
      <c r="I55" s="119"/>
      <c r="J55" s="119"/>
      <c r="K55" s="119"/>
      <c r="L55" s="119"/>
      <c r="M55" s="30"/>
      <c r="N55" s="16"/>
    </row>
    <row r="56" spans="1:14" x14ac:dyDescent="0.3">
      <c r="A56" s="106"/>
      <c r="B56" s="107"/>
      <c r="C56" s="107"/>
      <c r="D56" s="114"/>
      <c r="F56" s="103"/>
      <c r="G56" s="104"/>
      <c r="H56" s="109"/>
      <c r="I56" s="119"/>
      <c r="J56" s="119"/>
      <c r="K56" s="119"/>
      <c r="L56" s="119"/>
      <c r="M56" s="30"/>
      <c r="N56" s="16"/>
    </row>
    <row r="57" spans="1:14" x14ac:dyDescent="0.3">
      <c r="A57" s="106"/>
      <c r="B57" s="107"/>
      <c r="C57" s="107"/>
      <c r="D57" s="113"/>
      <c r="F57" s="103"/>
      <c r="G57" s="104"/>
      <c r="H57" s="109"/>
      <c r="I57" s="119"/>
      <c r="J57" s="119"/>
      <c r="K57" s="119"/>
      <c r="L57" s="119"/>
      <c r="M57" s="30"/>
      <c r="N57" s="16"/>
    </row>
    <row r="58" spans="1:14" x14ac:dyDescent="0.3">
      <c r="A58" s="106"/>
      <c r="B58" s="107"/>
      <c r="C58" s="107"/>
      <c r="D58" s="114"/>
      <c r="F58" s="103"/>
      <c r="G58" s="104"/>
      <c r="H58" s="109"/>
      <c r="I58" s="119"/>
      <c r="J58" s="119"/>
      <c r="K58" s="119"/>
      <c r="L58" s="119"/>
      <c r="M58" s="30"/>
      <c r="N58" s="16"/>
    </row>
    <row r="59" spans="1:14" x14ac:dyDescent="0.3">
      <c r="A59" s="106"/>
      <c r="B59" s="107"/>
      <c r="C59" s="107"/>
      <c r="D59" s="113"/>
      <c r="F59" s="103"/>
      <c r="G59" s="104"/>
      <c r="H59" s="109"/>
      <c r="I59" s="119"/>
      <c r="J59" s="190"/>
      <c r="K59" s="190"/>
      <c r="L59" s="119"/>
      <c r="M59" s="30"/>
      <c r="N59" s="16"/>
    </row>
    <row r="60" spans="1:14" x14ac:dyDescent="0.3">
      <c r="A60" s="106"/>
      <c r="B60" s="107"/>
      <c r="C60" s="107"/>
      <c r="D60" s="114"/>
      <c r="F60" s="103"/>
      <c r="G60" s="104"/>
      <c r="H60" s="109"/>
      <c r="I60" s="189"/>
      <c r="J60" s="189"/>
      <c r="K60" s="189"/>
      <c r="L60" s="189"/>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78" t="s">
        <v>56</v>
      </c>
      <c r="B65" s="179"/>
      <c r="C65" s="179"/>
      <c r="D65" s="96">
        <f>SUM(Pest_55[Amount])</f>
        <v>0</v>
      </c>
      <c r="F65" s="173" t="s">
        <v>33</v>
      </c>
      <c r="G65" s="174"/>
      <c r="H65" s="174"/>
    </row>
    <row r="66" spans="1:8" x14ac:dyDescent="0.3">
      <c r="F66" s="173"/>
      <c r="G66" s="174"/>
      <c r="H66" s="174"/>
    </row>
    <row r="67" spans="1:8" ht="17.399999999999999" x14ac:dyDescent="0.3">
      <c r="A67" s="198" t="s">
        <v>69</v>
      </c>
      <c r="B67" s="198"/>
      <c r="C67" s="198"/>
      <c r="D67" s="198"/>
      <c r="E67" s="17"/>
      <c r="F67" s="183" t="s">
        <v>57</v>
      </c>
      <c r="G67" s="184"/>
      <c r="H67" s="185"/>
    </row>
    <row r="68" spans="1:8" x14ac:dyDescent="0.3">
      <c r="A68" s="21" t="s">
        <v>21</v>
      </c>
      <c r="B68" s="22" t="s">
        <v>22</v>
      </c>
      <c r="C68" s="22" t="s">
        <v>23</v>
      </c>
      <c r="D68" s="23" t="s">
        <v>25</v>
      </c>
      <c r="E68" s="24"/>
      <c r="F68" s="186"/>
      <c r="G68" s="187"/>
      <c r="H68" s="188"/>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78" t="s">
        <v>58</v>
      </c>
      <c r="B84" s="179"/>
      <c r="C84" s="179"/>
      <c r="D84" s="96">
        <f>SUM(Garbage_55[Amount])</f>
        <v>0</v>
      </c>
      <c r="E84" s="34"/>
      <c r="F84" s="173" t="s">
        <v>33</v>
      </c>
      <c r="G84" s="174"/>
      <c r="H84" s="174"/>
    </row>
    <row r="85" spans="1:8" x14ac:dyDescent="0.3">
      <c r="A85" s="38"/>
      <c r="B85" s="38"/>
      <c r="C85" s="38"/>
      <c r="D85" s="39"/>
      <c r="E85" s="40"/>
      <c r="F85" s="173"/>
      <c r="G85" s="174"/>
      <c r="H85" s="174"/>
    </row>
    <row r="86" spans="1:8" ht="17.399999999999999" x14ac:dyDescent="0.3">
      <c r="A86" s="191" t="s">
        <v>59</v>
      </c>
      <c r="B86" s="192"/>
      <c r="C86" s="192"/>
      <c r="D86" s="193"/>
      <c r="E86" s="17"/>
      <c r="F86" s="183" t="s">
        <v>60</v>
      </c>
      <c r="G86" s="184"/>
      <c r="H86" s="185"/>
    </row>
    <row r="87" spans="1:8" x14ac:dyDescent="0.3">
      <c r="A87" s="21" t="s">
        <v>21</v>
      </c>
      <c r="B87" s="22" t="s">
        <v>22</v>
      </c>
      <c r="C87" s="22" t="s">
        <v>23</v>
      </c>
      <c r="D87" s="23" t="s">
        <v>25</v>
      </c>
      <c r="E87" s="41"/>
      <c r="F87" s="186"/>
      <c r="G87" s="187"/>
      <c r="H87" s="188"/>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78" t="s">
        <v>61</v>
      </c>
      <c r="B103" s="179"/>
      <c r="C103" s="179"/>
      <c r="D103" s="96">
        <f>SUM(Boarding_55[Amount])</f>
        <v>0</v>
      </c>
      <c r="E103" s="34"/>
      <c r="F103" s="173" t="s">
        <v>33</v>
      </c>
      <c r="G103" s="174"/>
      <c r="H103" s="174"/>
    </row>
    <row r="104" spans="1:8" x14ac:dyDescent="0.3">
      <c r="A104" s="38"/>
      <c r="B104" s="38"/>
      <c r="C104" s="38"/>
      <c r="D104" s="39"/>
      <c r="E104" s="40"/>
      <c r="F104" s="173"/>
      <c r="G104" s="174"/>
      <c r="H104" s="174"/>
    </row>
    <row r="105" spans="1:8" ht="17.399999999999999" x14ac:dyDescent="0.3">
      <c r="A105" s="191" t="s">
        <v>70</v>
      </c>
      <c r="B105" s="192"/>
      <c r="C105" s="192"/>
      <c r="D105" s="193"/>
      <c r="E105" s="17"/>
      <c r="F105" s="183" t="s">
        <v>62</v>
      </c>
      <c r="G105" s="184"/>
      <c r="H105" s="185"/>
    </row>
    <row r="106" spans="1:8" x14ac:dyDescent="0.3">
      <c r="A106" s="21" t="s">
        <v>21</v>
      </c>
      <c r="B106" s="22" t="s">
        <v>22</v>
      </c>
      <c r="C106" s="22" t="s">
        <v>23</v>
      </c>
      <c r="D106" s="23" t="s">
        <v>25</v>
      </c>
      <c r="E106" s="41"/>
      <c r="F106" s="186"/>
      <c r="G106" s="187"/>
      <c r="H106" s="188"/>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78" t="s">
        <v>63</v>
      </c>
      <c r="B122" s="179"/>
      <c r="C122" s="179"/>
      <c r="D122" s="96">
        <f>SUM(Fence_55[Amount])</f>
        <v>0</v>
      </c>
      <c r="E122" s="34"/>
      <c r="F122" s="173" t="s">
        <v>33</v>
      </c>
      <c r="G122" s="174"/>
      <c r="H122" s="174"/>
    </row>
    <row r="123" spans="1:8" x14ac:dyDescent="0.3">
      <c r="F123" s="173"/>
      <c r="G123" s="174"/>
      <c r="H123" s="174"/>
    </row>
    <row r="124" spans="1:8" ht="17.399999999999999" x14ac:dyDescent="0.3">
      <c r="A124" s="191" t="s">
        <v>26</v>
      </c>
      <c r="B124" s="192"/>
      <c r="C124" s="192"/>
      <c r="D124" s="193"/>
      <c r="E124" s="17"/>
      <c r="F124" s="183" t="s">
        <v>11</v>
      </c>
      <c r="G124" s="184"/>
      <c r="H124" s="185"/>
    </row>
    <row r="125" spans="1:8" x14ac:dyDescent="0.3">
      <c r="A125" s="21" t="s">
        <v>21</v>
      </c>
      <c r="B125" s="22" t="s">
        <v>22</v>
      </c>
      <c r="C125" s="22" t="s">
        <v>23</v>
      </c>
      <c r="D125" s="23" t="s">
        <v>25</v>
      </c>
      <c r="E125" s="41"/>
      <c r="F125" s="186"/>
      <c r="G125" s="187"/>
      <c r="H125" s="188"/>
    </row>
    <row r="126" spans="1:8" x14ac:dyDescent="0.3">
      <c r="A126" s="100"/>
      <c r="B126" s="101"/>
      <c r="C126" s="101"/>
      <c r="D126" s="112">
        <v>45510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78" t="s">
        <v>27</v>
      </c>
      <c r="B141" s="179"/>
      <c r="C141" s="179"/>
      <c r="D141" s="96">
        <f>SUM(Demolition_55[Amount])</f>
        <v>45510</v>
      </c>
      <c r="E141" s="34"/>
      <c r="F141" s="173" t="s">
        <v>33</v>
      </c>
      <c r="G141" s="174"/>
      <c r="H141" s="174"/>
    </row>
    <row r="142" spans="1:8" x14ac:dyDescent="0.3">
      <c r="A142" s="38"/>
      <c r="B142" s="38"/>
      <c r="C142" s="38"/>
      <c r="D142" s="39"/>
      <c r="E142" s="40"/>
      <c r="F142" s="173"/>
      <c r="G142" s="174"/>
      <c r="H142" s="174"/>
    </row>
    <row r="143" spans="1:8" ht="17.399999999999999" x14ac:dyDescent="0.3">
      <c r="A143" s="191" t="s">
        <v>64</v>
      </c>
      <c r="B143" s="192"/>
      <c r="C143" s="192"/>
      <c r="D143" s="193"/>
      <c r="E143" s="17"/>
      <c r="F143" s="183" t="s">
        <v>44</v>
      </c>
      <c r="G143" s="184"/>
      <c r="H143" s="185"/>
    </row>
    <row r="144" spans="1:8" x14ac:dyDescent="0.3">
      <c r="A144" s="21" t="s">
        <v>21</v>
      </c>
      <c r="B144" s="22" t="s">
        <v>22</v>
      </c>
      <c r="C144" s="22" t="s">
        <v>23</v>
      </c>
      <c r="D144" s="23" t="s">
        <v>25</v>
      </c>
      <c r="E144" s="41"/>
      <c r="F144" s="186"/>
      <c r="G144" s="187"/>
      <c r="H144" s="188"/>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78" t="s">
        <v>65</v>
      </c>
      <c r="B160" s="179"/>
      <c r="C160" s="179"/>
      <c r="D160" s="96">
        <f>SUM(Rehab_55[Amount])</f>
        <v>0</v>
      </c>
      <c r="E160" s="34"/>
      <c r="F160" s="173" t="s">
        <v>33</v>
      </c>
      <c r="G160" s="174"/>
      <c r="H160" s="174"/>
    </row>
    <row r="161" spans="6:8" x14ac:dyDescent="0.3">
      <c r="F161" s="173"/>
      <c r="G161" s="174"/>
      <c r="H161" s="174"/>
    </row>
  </sheetData>
  <sheetProtection algorithmName="SHA-512" hashValue="4fImZoITUJrsnsrBjlnwRKLRxcpJVg+H3vIUF1JNRKoO9+CztCsYepgBlWKT9AhxfqEDSE8DAdD+OjKZKJ2NZg==" saltValue="yOshlW5U5XQKItCiZj27Zg=="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N161"/>
  <sheetViews>
    <sheetView showGridLines="0" zoomScaleNormal="100" workbookViewId="0">
      <pane ySplit="9" topLeftCell="A112" activePane="bottomLeft" state="frozen"/>
      <selection activeCell="F10" sqref="F10:H11"/>
      <selection pane="bottomLeft" activeCell="B130" sqref="B130"/>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5" t="s">
        <v>24</v>
      </c>
      <c r="B1" s="175"/>
      <c r="C1" s="175"/>
      <c r="D1" s="175"/>
      <c r="E1" s="1"/>
      <c r="F1" s="2"/>
      <c r="G1" s="2"/>
      <c r="H1" s="1"/>
    </row>
    <row r="2" spans="1:14" ht="24.9" customHeight="1" x14ac:dyDescent="0.3">
      <c r="A2" s="176" t="s">
        <v>71</v>
      </c>
      <c r="B2" s="176"/>
      <c r="C2" s="176"/>
      <c r="D2" s="176"/>
      <c r="E2" s="4"/>
      <c r="F2" s="120"/>
      <c r="G2" s="120"/>
      <c r="H2" s="5"/>
    </row>
    <row r="3" spans="1:14" ht="31.5" customHeight="1" x14ac:dyDescent="0.3">
      <c r="A3" s="176"/>
      <c r="B3" s="176"/>
      <c r="C3" s="176"/>
      <c r="D3" s="176"/>
      <c r="E3" s="4"/>
      <c r="F3" s="120"/>
      <c r="G3" s="120"/>
      <c r="H3" s="5"/>
    </row>
    <row r="4" spans="1:14" ht="15" customHeight="1" x14ac:dyDescent="0.25">
      <c r="A4" s="75" t="s">
        <v>19</v>
      </c>
      <c r="B4" s="194" t="str">
        <f>IF('Summary Sheet'!B88="","",'Summary Sheet'!B88)</f>
        <v>228 W 113TH ST</v>
      </c>
      <c r="C4" s="194"/>
      <c r="D4" s="120"/>
      <c r="E4" s="4"/>
      <c r="F4" s="120"/>
      <c r="G4" s="120"/>
      <c r="H4" s="5"/>
    </row>
    <row r="5" spans="1:14" ht="15" customHeight="1" x14ac:dyDescent="0.25">
      <c r="A5" s="75" t="s">
        <v>20</v>
      </c>
      <c r="B5" s="195" t="str">
        <f>IF('Summary Sheet'!C88="","",'Summary Sheet'!C88)</f>
        <v/>
      </c>
      <c r="C5" s="195"/>
      <c r="D5" s="120"/>
      <c r="E5" s="4"/>
      <c r="F5" s="120"/>
      <c r="G5" s="120"/>
      <c r="H5" s="5"/>
    </row>
    <row r="6" spans="1:14" ht="15" customHeight="1" x14ac:dyDescent="0.25">
      <c r="A6" s="75" t="s">
        <v>36</v>
      </c>
      <c r="B6" s="177"/>
      <c r="C6" s="177"/>
      <c r="D6" s="6"/>
      <c r="E6" s="7"/>
    </row>
    <row r="7" spans="1:14" ht="15" customHeight="1" x14ac:dyDescent="0.25">
      <c r="A7" s="7"/>
      <c r="B7" s="196" t="s">
        <v>34</v>
      </c>
      <c r="C7" s="196"/>
      <c r="D7" s="10"/>
    </row>
    <row r="8" spans="1:14" ht="20.100000000000001" customHeight="1" x14ac:dyDescent="0.25">
      <c r="B8" s="11"/>
      <c r="C8" s="11"/>
      <c r="D8" s="12" t="s">
        <v>31</v>
      </c>
      <c r="F8" s="180" t="s">
        <v>32</v>
      </c>
      <c r="G8" s="181"/>
      <c r="H8" s="182"/>
    </row>
    <row r="9" spans="1:14" s="14" customFormat="1" ht="20.100000000000001" customHeight="1" x14ac:dyDescent="0.25">
      <c r="A9" s="197"/>
      <c r="B9" s="197"/>
      <c r="C9" s="197"/>
      <c r="D9" s="13">
        <f>SUM(D27,D46,D65,D84,D103,D122,D141,D160)</f>
        <v>19105</v>
      </c>
      <c r="F9" s="15" t="s">
        <v>28</v>
      </c>
      <c r="G9" s="15" t="s">
        <v>29</v>
      </c>
      <c r="H9" s="15" t="s">
        <v>30</v>
      </c>
      <c r="I9" s="16"/>
      <c r="J9" s="16"/>
      <c r="K9" s="16"/>
      <c r="L9" s="16"/>
      <c r="M9" s="16"/>
      <c r="N9" s="16"/>
    </row>
    <row r="10" spans="1:14" s="17" customFormat="1" ht="23.1" customHeight="1" x14ac:dyDescent="0.3">
      <c r="A10" s="198" t="s">
        <v>51</v>
      </c>
      <c r="B10" s="198"/>
      <c r="C10" s="198"/>
      <c r="D10" s="198"/>
      <c r="F10" s="183" t="s">
        <v>66</v>
      </c>
      <c r="G10" s="184"/>
      <c r="H10" s="185"/>
      <c r="I10" s="18"/>
      <c r="J10" s="18"/>
      <c r="K10" s="18"/>
      <c r="L10" s="18"/>
      <c r="M10" s="19"/>
      <c r="N10" s="20"/>
    </row>
    <row r="11" spans="1:14" s="24" customFormat="1" ht="12.75" customHeight="1" x14ac:dyDescent="0.25">
      <c r="A11" s="21" t="s">
        <v>21</v>
      </c>
      <c r="B11" s="22" t="s">
        <v>22</v>
      </c>
      <c r="C11" s="22" t="s">
        <v>23</v>
      </c>
      <c r="D11" s="23" t="s">
        <v>25</v>
      </c>
      <c r="F11" s="186"/>
      <c r="G11" s="187"/>
      <c r="H11" s="188"/>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78" t="s">
        <v>53</v>
      </c>
      <c r="B27" s="179"/>
      <c r="C27" s="179"/>
      <c r="D27" s="96">
        <f>SUM(Grass_56[Amount])</f>
        <v>0</v>
      </c>
      <c r="F27" s="173" t="s">
        <v>33</v>
      </c>
      <c r="G27" s="174"/>
      <c r="H27" s="174"/>
      <c r="I27" s="35"/>
      <c r="J27" s="35"/>
      <c r="K27" s="35"/>
      <c r="L27" s="35"/>
      <c r="M27" s="36"/>
      <c r="N27" s="37"/>
    </row>
    <row r="28" spans="1:14" s="40" customFormat="1" ht="11.1" customHeight="1" x14ac:dyDescent="0.3">
      <c r="A28" s="38"/>
      <c r="B28" s="38"/>
      <c r="C28" s="38"/>
      <c r="D28" s="39"/>
      <c r="F28" s="173"/>
      <c r="G28" s="174"/>
      <c r="H28" s="174"/>
      <c r="I28" s="35"/>
      <c r="J28" s="35"/>
      <c r="K28" s="35"/>
      <c r="L28" s="35"/>
      <c r="M28" s="36"/>
      <c r="N28" s="37"/>
    </row>
    <row r="29" spans="1:14" s="17" customFormat="1" ht="23.1" customHeight="1" x14ac:dyDescent="0.3">
      <c r="A29" s="191" t="s">
        <v>67</v>
      </c>
      <c r="B29" s="192"/>
      <c r="C29" s="192"/>
      <c r="D29" s="193"/>
      <c r="F29" s="183" t="s">
        <v>52</v>
      </c>
      <c r="G29" s="184"/>
      <c r="H29" s="185"/>
      <c r="I29" s="18"/>
      <c r="J29" s="18"/>
      <c r="K29" s="18"/>
      <c r="L29" s="18"/>
      <c r="M29" s="19"/>
      <c r="N29" s="20"/>
    </row>
    <row r="30" spans="1:14" s="41" customFormat="1" ht="12.75" customHeight="1" x14ac:dyDescent="0.25">
      <c r="A30" s="21" t="s">
        <v>21</v>
      </c>
      <c r="B30" s="22" t="s">
        <v>22</v>
      </c>
      <c r="C30" s="22" t="s">
        <v>23</v>
      </c>
      <c r="D30" s="23" t="s">
        <v>25</v>
      </c>
      <c r="F30" s="186"/>
      <c r="G30" s="187"/>
      <c r="H30" s="188"/>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19"/>
      <c r="J44" s="29"/>
      <c r="K44" s="29"/>
      <c r="L44" s="119"/>
      <c r="M44" s="30"/>
      <c r="N44" s="16"/>
    </row>
    <row r="45" spans="1:14" x14ac:dyDescent="0.3">
      <c r="A45" s="106"/>
      <c r="B45" s="107"/>
      <c r="C45" s="107"/>
      <c r="D45" s="114"/>
      <c r="F45" s="103"/>
      <c r="G45" s="104"/>
      <c r="H45" s="109"/>
      <c r="I45" s="119"/>
      <c r="J45" s="29"/>
      <c r="K45" s="29"/>
      <c r="L45" s="119"/>
      <c r="M45" s="30"/>
      <c r="N45" s="16"/>
    </row>
    <row r="46" spans="1:14" s="34" customFormat="1" x14ac:dyDescent="0.3">
      <c r="A46" s="178" t="s">
        <v>54</v>
      </c>
      <c r="B46" s="179"/>
      <c r="C46" s="179"/>
      <c r="D46" s="96">
        <f>SUM(Tree_56[Amount])</f>
        <v>0</v>
      </c>
      <c r="F46" s="173" t="s">
        <v>33</v>
      </c>
      <c r="G46" s="174"/>
      <c r="H46" s="174"/>
      <c r="I46" s="43"/>
      <c r="J46" s="43"/>
      <c r="K46" s="43"/>
      <c r="L46" s="43"/>
      <c r="M46" s="36"/>
      <c r="N46" s="37"/>
    </row>
    <row r="47" spans="1:14" s="40" customFormat="1" ht="11.1" customHeight="1" x14ac:dyDescent="0.3">
      <c r="A47" s="38"/>
      <c r="B47" s="38"/>
      <c r="C47" s="38"/>
      <c r="D47" s="39"/>
      <c r="F47" s="173"/>
      <c r="G47" s="174"/>
      <c r="H47" s="174"/>
      <c r="I47" s="43"/>
      <c r="J47" s="43"/>
      <c r="K47" s="43"/>
      <c r="L47" s="43"/>
      <c r="M47" s="36"/>
      <c r="N47" s="37"/>
    </row>
    <row r="48" spans="1:14" s="17" customFormat="1" ht="23.1" customHeight="1" x14ac:dyDescent="0.3">
      <c r="A48" s="191" t="s">
        <v>68</v>
      </c>
      <c r="B48" s="192"/>
      <c r="C48" s="192"/>
      <c r="D48" s="193"/>
      <c r="F48" s="183" t="s">
        <v>55</v>
      </c>
      <c r="G48" s="184"/>
      <c r="H48" s="185"/>
      <c r="I48" s="44"/>
      <c r="J48" s="44"/>
      <c r="K48" s="44"/>
      <c r="L48" s="44"/>
      <c r="M48" s="19"/>
      <c r="N48" s="20"/>
    </row>
    <row r="49" spans="1:14" s="41" customFormat="1" ht="12.75" customHeight="1" x14ac:dyDescent="0.25">
      <c r="A49" s="21" t="s">
        <v>21</v>
      </c>
      <c r="B49" s="22" t="s">
        <v>22</v>
      </c>
      <c r="C49" s="22" t="s">
        <v>23</v>
      </c>
      <c r="D49" s="23" t="s">
        <v>25</v>
      </c>
      <c r="F49" s="186"/>
      <c r="G49" s="187"/>
      <c r="H49" s="188"/>
      <c r="I49" s="119"/>
      <c r="J49" s="119"/>
      <c r="K49" s="119"/>
      <c r="L49" s="119"/>
      <c r="M49" s="30"/>
      <c r="N49" s="42"/>
    </row>
    <row r="50" spans="1:14" x14ac:dyDescent="0.3">
      <c r="A50" s="100"/>
      <c r="B50" s="101"/>
      <c r="C50" s="101"/>
      <c r="D50" s="112"/>
      <c r="F50" s="103"/>
      <c r="G50" s="104"/>
      <c r="H50" s="109"/>
      <c r="I50" s="119"/>
      <c r="J50" s="119"/>
      <c r="K50" s="119"/>
      <c r="L50" s="119"/>
      <c r="M50" s="30"/>
      <c r="N50" s="16"/>
    </row>
    <row r="51" spans="1:14" x14ac:dyDescent="0.3">
      <c r="A51" s="106"/>
      <c r="B51" s="107"/>
      <c r="C51" s="107"/>
      <c r="D51" s="113"/>
      <c r="F51" s="103"/>
      <c r="G51" s="104"/>
      <c r="H51" s="109"/>
      <c r="I51" s="119"/>
      <c r="J51" s="119"/>
      <c r="K51" s="119"/>
      <c r="L51" s="119"/>
      <c r="M51" s="30"/>
      <c r="N51" s="16"/>
    </row>
    <row r="52" spans="1:14" x14ac:dyDescent="0.3">
      <c r="A52" s="106"/>
      <c r="B52" s="107"/>
      <c r="C52" s="107"/>
      <c r="D52" s="114"/>
      <c r="F52" s="103"/>
      <c r="H52" s="109"/>
      <c r="I52" s="119"/>
      <c r="J52" s="119"/>
      <c r="K52" s="119"/>
      <c r="L52" s="119"/>
      <c r="M52" s="30"/>
      <c r="N52" s="16"/>
    </row>
    <row r="53" spans="1:14" x14ac:dyDescent="0.3">
      <c r="A53" s="106"/>
      <c r="B53" s="107"/>
      <c r="C53" s="107"/>
      <c r="D53" s="113"/>
      <c r="F53" s="103"/>
      <c r="G53" s="104"/>
      <c r="H53" s="109"/>
      <c r="I53" s="119"/>
      <c r="J53" s="119"/>
      <c r="K53" s="119"/>
      <c r="L53" s="119"/>
      <c r="M53" s="30"/>
      <c r="N53" s="16"/>
    </row>
    <row r="54" spans="1:14" x14ac:dyDescent="0.3">
      <c r="A54" s="106"/>
      <c r="B54" s="107"/>
      <c r="C54" s="107"/>
      <c r="D54" s="114"/>
      <c r="F54" s="103"/>
      <c r="G54" s="104"/>
      <c r="H54" s="109"/>
      <c r="I54" s="119"/>
      <c r="J54" s="119"/>
      <c r="K54" s="119"/>
      <c r="L54" s="119"/>
      <c r="M54" s="30"/>
      <c r="N54" s="16"/>
    </row>
    <row r="55" spans="1:14" x14ac:dyDescent="0.3">
      <c r="A55" s="106"/>
      <c r="B55" s="107"/>
      <c r="C55" s="107"/>
      <c r="D55" s="113"/>
      <c r="F55" s="103"/>
      <c r="G55" s="104"/>
      <c r="H55" s="109"/>
      <c r="I55" s="119"/>
      <c r="J55" s="119"/>
      <c r="K55" s="119"/>
      <c r="L55" s="119"/>
      <c r="M55" s="30"/>
      <c r="N55" s="16"/>
    </row>
    <row r="56" spans="1:14" x14ac:dyDescent="0.3">
      <c r="A56" s="106"/>
      <c r="B56" s="107"/>
      <c r="C56" s="107"/>
      <c r="D56" s="114"/>
      <c r="F56" s="103"/>
      <c r="G56" s="104"/>
      <c r="H56" s="109"/>
      <c r="I56" s="119"/>
      <c r="J56" s="119"/>
      <c r="K56" s="119"/>
      <c r="L56" s="119"/>
      <c r="M56" s="30"/>
      <c r="N56" s="16"/>
    </row>
    <row r="57" spans="1:14" x14ac:dyDescent="0.3">
      <c r="A57" s="106"/>
      <c r="B57" s="107"/>
      <c r="C57" s="107"/>
      <c r="D57" s="113"/>
      <c r="F57" s="103"/>
      <c r="G57" s="104"/>
      <c r="H57" s="109"/>
      <c r="I57" s="119"/>
      <c r="J57" s="119"/>
      <c r="K57" s="119"/>
      <c r="L57" s="119"/>
      <c r="M57" s="30"/>
      <c r="N57" s="16"/>
    </row>
    <row r="58" spans="1:14" x14ac:dyDescent="0.3">
      <c r="A58" s="106"/>
      <c r="B58" s="107"/>
      <c r="C58" s="107"/>
      <c r="D58" s="114"/>
      <c r="F58" s="103"/>
      <c r="G58" s="104"/>
      <c r="H58" s="109"/>
      <c r="I58" s="119"/>
      <c r="J58" s="119"/>
      <c r="K58" s="119"/>
      <c r="L58" s="119"/>
      <c r="M58" s="30"/>
      <c r="N58" s="16"/>
    </row>
    <row r="59" spans="1:14" x14ac:dyDescent="0.3">
      <c r="A59" s="106"/>
      <c r="B59" s="107"/>
      <c r="C59" s="107"/>
      <c r="D59" s="113"/>
      <c r="F59" s="103"/>
      <c r="G59" s="104"/>
      <c r="H59" s="109"/>
      <c r="I59" s="119"/>
      <c r="J59" s="190"/>
      <c r="K59" s="190"/>
      <c r="L59" s="119"/>
      <c r="M59" s="30"/>
      <c r="N59" s="16"/>
    </row>
    <row r="60" spans="1:14" x14ac:dyDescent="0.3">
      <c r="A60" s="106"/>
      <c r="B60" s="107"/>
      <c r="C60" s="107"/>
      <c r="D60" s="114"/>
      <c r="F60" s="103"/>
      <c r="G60" s="104"/>
      <c r="H60" s="109"/>
      <c r="I60" s="189"/>
      <c r="J60" s="189"/>
      <c r="K60" s="189"/>
      <c r="L60" s="189"/>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78" t="s">
        <v>56</v>
      </c>
      <c r="B65" s="179"/>
      <c r="C65" s="179"/>
      <c r="D65" s="96">
        <f>SUM(Pest_56[Amount])</f>
        <v>0</v>
      </c>
      <c r="F65" s="173" t="s">
        <v>33</v>
      </c>
      <c r="G65" s="174"/>
      <c r="H65" s="174"/>
    </row>
    <row r="66" spans="1:8" x14ac:dyDescent="0.3">
      <c r="F66" s="173"/>
      <c r="G66" s="174"/>
      <c r="H66" s="174"/>
    </row>
    <row r="67" spans="1:8" ht="17.399999999999999" x14ac:dyDescent="0.3">
      <c r="A67" s="198" t="s">
        <v>69</v>
      </c>
      <c r="B67" s="198"/>
      <c r="C67" s="198"/>
      <c r="D67" s="198"/>
      <c r="E67" s="17"/>
      <c r="F67" s="183" t="s">
        <v>57</v>
      </c>
      <c r="G67" s="184"/>
      <c r="H67" s="185"/>
    </row>
    <row r="68" spans="1:8" x14ac:dyDescent="0.3">
      <c r="A68" s="21" t="s">
        <v>21</v>
      </c>
      <c r="B68" s="22" t="s">
        <v>22</v>
      </c>
      <c r="C68" s="22" t="s">
        <v>23</v>
      </c>
      <c r="D68" s="23" t="s">
        <v>25</v>
      </c>
      <c r="E68" s="24"/>
      <c r="F68" s="186"/>
      <c r="G68" s="187"/>
      <c r="H68" s="188"/>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78" t="s">
        <v>58</v>
      </c>
      <c r="B84" s="179"/>
      <c r="C84" s="179"/>
      <c r="D84" s="96">
        <f>SUM(Garbage_56[Amount])</f>
        <v>0</v>
      </c>
      <c r="E84" s="34"/>
      <c r="F84" s="173" t="s">
        <v>33</v>
      </c>
      <c r="G84" s="174"/>
      <c r="H84" s="174"/>
    </row>
    <row r="85" spans="1:8" x14ac:dyDescent="0.3">
      <c r="A85" s="38"/>
      <c r="B85" s="38"/>
      <c r="C85" s="38"/>
      <c r="D85" s="39"/>
      <c r="E85" s="40"/>
      <c r="F85" s="173"/>
      <c r="G85" s="174"/>
      <c r="H85" s="174"/>
    </row>
    <row r="86" spans="1:8" ht="17.399999999999999" x14ac:dyDescent="0.3">
      <c r="A86" s="191" t="s">
        <v>59</v>
      </c>
      <c r="B86" s="192"/>
      <c r="C86" s="192"/>
      <c r="D86" s="193"/>
      <c r="E86" s="17"/>
      <c r="F86" s="183" t="s">
        <v>60</v>
      </c>
      <c r="G86" s="184"/>
      <c r="H86" s="185"/>
    </row>
    <row r="87" spans="1:8" x14ac:dyDescent="0.3">
      <c r="A87" s="21" t="s">
        <v>21</v>
      </c>
      <c r="B87" s="22" t="s">
        <v>22</v>
      </c>
      <c r="C87" s="22" t="s">
        <v>23</v>
      </c>
      <c r="D87" s="23" t="s">
        <v>25</v>
      </c>
      <c r="E87" s="41"/>
      <c r="F87" s="186"/>
      <c r="G87" s="187"/>
      <c r="H87" s="188"/>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78" t="s">
        <v>61</v>
      </c>
      <c r="B103" s="179"/>
      <c r="C103" s="179"/>
      <c r="D103" s="96">
        <f>SUM(Boarding_56[Amount])</f>
        <v>0</v>
      </c>
      <c r="E103" s="34"/>
      <c r="F103" s="173" t="s">
        <v>33</v>
      </c>
      <c r="G103" s="174"/>
      <c r="H103" s="174"/>
    </row>
    <row r="104" spans="1:8" x14ac:dyDescent="0.3">
      <c r="A104" s="38"/>
      <c r="B104" s="38"/>
      <c r="C104" s="38"/>
      <c r="D104" s="39"/>
      <c r="E104" s="40"/>
      <c r="F104" s="173"/>
      <c r="G104" s="174"/>
      <c r="H104" s="174"/>
    </row>
    <row r="105" spans="1:8" ht="17.399999999999999" x14ac:dyDescent="0.3">
      <c r="A105" s="191" t="s">
        <v>70</v>
      </c>
      <c r="B105" s="192"/>
      <c r="C105" s="192"/>
      <c r="D105" s="193"/>
      <c r="E105" s="17"/>
      <c r="F105" s="183" t="s">
        <v>62</v>
      </c>
      <c r="G105" s="184"/>
      <c r="H105" s="185"/>
    </row>
    <row r="106" spans="1:8" x14ac:dyDescent="0.3">
      <c r="A106" s="21" t="s">
        <v>21</v>
      </c>
      <c r="B106" s="22" t="s">
        <v>22</v>
      </c>
      <c r="C106" s="22" t="s">
        <v>23</v>
      </c>
      <c r="D106" s="23" t="s">
        <v>25</v>
      </c>
      <c r="E106" s="41"/>
      <c r="F106" s="186"/>
      <c r="G106" s="187"/>
      <c r="H106" s="188"/>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78" t="s">
        <v>63</v>
      </c>
      <c r="B122" s="179"/>
      <c r="C122" s="179"/>
      <c r="D122" s="96">
        <f>SUM(Fence_56[Amount])</f>
        <v>0</v>
      </c>
      <c r="E122" s="34"/>
      <c r="F122" s="173" t="s">
        <v>33</v>
      </c>
      <c r="G122" s="174"/>
      <c r="H122" s="174"/>
    </row>
    <row r="123" spans="1:8" x14ac:dyDescent="0.3">
      <c r="F123" s="173"/>
      <c r="G123" s="174"/>
      <c r="H123" s="174"/>
    </row>
    <row r="124" spans="1:8" ht="17.399999999999999" x14ac:dyDescent="0.3">
      <c r="A124" s="191" t="s">
        <v>26</v>
      </c>
      <c r="B124" s="192"/>
      <c r="C124" s="192"/>
      <c r="D124" s="193"/>
      <c r="E124" s="17"/>
      <c r="F124" s="183" t="s">
        <v>11</v>
      </c>
      <c r="G124" s="184"/>
      <c r="H124" s="185"/>
    </row>
    <row r="125" spans="1:8" x14ac:dyDescent="0.3">
      <c r="A125" s="21" t="s">
        <v>21</v>
      </c>
      <c r="B125" s="22" t="s">
        <v>22</v>
      </c>
      <c r="C125" s="22" t="s">
        <v>23</v>
      </c>
      <c r="D125" s="23" t="s">
        <v>25</v>
      </c>
      <c r="E125" s="41"/>
      <c r="F125" s="186"/>
      <c r="G125" s="187"/>
      <c r="H125" s="188"/>
    </row>
    <row r="126" spans="1:8" x14ac:dyDescent="0.3">
      <c r="A126" s="100"/>
      <c r="B126" s="101"/>
      <c r="C126" s="101"/>
      <c r="D126" s="112">
        <v>19105</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78" t="s">
        <v>27</v>
      </c>
      <c r="B141" s="179"/>
      <c r="C141" s="179"/>
      <c r="D141" s="96">
        <f>SUM(Demolition_56[Amount])</f>
        <v>19105</v>
      </c>
      <c r="E141" s="34"/>
      <c r="F141" s="173" t="s">
        <v>33</v>
      </c>
      <c r="G141" s="174"/>
      <c r="H141" s="174"/>
    </row>
    <row r="142" spans="1:8" x14ac:dyDescent="0.3">
      <c r="A142" s="38"/>
      <c r="B142" s="38"/>
      <c r="C142" s="38"/>
      <c r="D142" s="39"/>
      <c r="E142" s="40"/>
      <c r="F142" s="173"/>
      <c r="G142" s="174"/>
      <c r="H142" s="174"/>
    </row>
    <row r="143" spans="1:8" ht="17.399999999999999" x14ac:dyDescent="0.3">
      <c r="A143" s="191" t="s">
        <v>64</v>
      </c>
      <c r="B143" s="192"/>
      <c r="C143" s="192"/>
      <c r="D143" s="193"/>
      <c r="E143" s="17"/>
      <c r="F143" s="183" t="s">
        <v>44</v>
      </c>
      <c r="G143" s="184"/>
      <c r="H143" s="185"/>
    </row>
    <row r="144" spans="1:8" x14ac:dyDescent="0.3">
      <c r="A144" s="21" t="s">
        <v>21</v>
      </c>
      <c r="B144" s="22" t="s">
        <v>22</v>
      </c>
      <c r="C144" s="22" t="s">
        <v>23</v>
      </c>
      <c r="D144" s="23" t="s">
        <v>25</v>
      </c>
      <c r="E144" s="41"/>
      <c r="F144" s="186"/>
      <c r="G144" s="187"/>
      <c r="H144" s="188"/>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78" t="s">
        <v>65</v>
      </c>
      <c r="B160" s="179"/>
      <c r="C160" s="179"/>
      <c r="D160" s="96">
        <f>SUM(Rehab_56[Amount])</f>
        <v>0</v>
      </c>
      <c r="E160" s="34"/>
      <c r="F160" s="173" t="s">
        <v>33</v>
      </c>
      <c r="G160" s="174"/>
      <c r="H160" s="174"/>
    </row>
    <row r="161" spans="6:8" x14ac:dyDescent="0.3">
      <c r="F161" s="173"/>
      <c r="G161" s="174"/>
      <c r="H161" s="174"/>
    </row>
  </sheetData>
  <sheetProtection algorithmName="SHA-512" hashValue="NOmJEXt2zfvejYIZeElA7osqvLP2yHGLqo35O97zjI7cFT4qDDiIL7TueCS8QlyrZbkJtmm85Ar61MAlAq5PsA==" saltValue="+cyAymehWB75gcLmqO6xOQ=="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pageSetUpPr fitToPage="1"/>
  </sheetPr>
  <dimension ref="A1:N161"/>
  <sheetViews>
    <sheetView showGridLines="0" zoomScaleNormal="100" workbookViewId="0">
      <pane ySplit="9" topLeftCell="A118"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5" t="s">
        <v>24</v>
      </c>
      <c r="B1" s="175"/>
      <c r="C1" s="175"/>
      <c r="D1" s="175"/>
      <c r="E1" s="1"/>
      <c r="F1" s="2"/>
      <c r="G1" s="2"/>
      <c r="H1" s="1"/>
    </row>
    <row r="2" spans="1:14" ht="24.9" customHeight="1" x14ac:dyDescent="0.3">
      <c r="A2" s="176" t="s">
        <v>71</v>
      </c>
      <c r="B2" s="176"/>
      <c r="C2" s="176"/>
      <c r="D2" s="176"/>
      <c r="E2" s="4"/>
      <c r="F2" s="120"/>
      <c r="G2" s="120"/>
      <c r="H2" s="5"/>
    </row>
    <row r="3" spans="1:14" ht="31.5" customHeight="1" x14ac:dyDescent="0.3">
      <c r="A3" s="176"/>
      <c r="B3" s="176"/>
      <c r="C3" s="176"/>
      <c r="D3" s="176"/>
      <c r="E3" s="4"/>
      <c r="F3" s="120"/>
      <c r="G3" s="120"/>
      <c r="H3" s="5"/>
    </row>
    <row r="4" spans="1:14" ht="15" customHeight="1" x14ac:dyDescent="0.25">
      <c r="A4" s="75" t="s">
        <v>19</v>
      </c>
      <c r="B4" s="194" t="str">
        <f>IF('Summary Sheet'!B89="","",'Summary Sheet'!B89)</f>
        <v>229 109TH ST</v>
      </c>
      <c r="C4" s="194"/>
      <c r="D4" s="120"/>
      <c r="E4" s="4"/>
      <c r="F4" s="120"/>
      <c r="G4" s="120"/>
      <c r="H4" s="5"/>
    </row>
    <row r="5" spans="1:14" ht="15" customHeight="1" x14ac:dyDescent="0.25">
      <c r="A5" s="75" t="s">
        <v>20</v>
      </c>
      <c r="B5" s="195" t="str">
        <f>IF('Summary Sheet'!C89="","",'Summary Sheet'!C89)</f>
        <v/>
      </c>
      <c r="C5" s="195"/>
      <c r="D5" s="120"/>
      <c r="E5" s="4"/>
      <c r="F5" s="120"/>
      <c r="G5" s="120"/>
      <c r="H5" s="5"/>
    </row>
    <row r="6" spans="1:14" ht="15" customHeight="1" x14ac:dyDescent="0.25">
      <c r="A6" s="75" t="s">
        <v>36</v>
      </c>
      <c r="B6" s="177"/>
      <c r="C6" s="177"/>
      <c r="D6" s="6"/>
      <c r="E6" s="7"/>
    </row>
    <row r="7" spans="1:14" ht="15" customHeight="1" x14ac:dyDescent="0.25">
      <c r="A7" s="7"/>
      <c r="B7" s="196" t="s">
        <v>34</v>
      </c>
      <c r="C7" s="196"/>
      <c r="D7" s="10"/>
    </row>
    <row r="8" spans="1:14" ht="20.100000000000001" customHeight="1" x14ac:dyDescent="0.25">
      <c r="B8" s="11"/>
      <c r="C8" s="11"/>
      <c r="D8" s="12" t="s">
        <v>31</v>
      </c>
      <c r="F8" s="180" t="s">
        <v>32</v>
      </c>
      <c r="G8" s="181"/>
      <c r="H8" s="182"/>
    </row>
    <row r="9" spans="1:14" s="14" customFormat="1" ht="20.100000000000001" customHeight="1" x14ac:dyDescent="0.25">
      <c r="A9" s="197"/>
      <c r="B9" s="197"/>
      <c r="C9" s="197"/>
      <c r="D9" s="13">
        <f>SUM(D27,D46,D65,D84,D103,D122,D141,D160)</f>
        <v>19510</v>
      </c>
      <c r="F9" s="15" t="s">
        <v>28</v>
      </c>
      <c r="G9" s="15" t="s">
        <v>29</v>
      </c>
      <c r="H9" s="15" t="s">
        <v>30</v>
      </c>
      <c r="I9" s="16"/>
      <c r="J9" s="16"/>
      <c r="K9" s="16"/>
      <c r="L9" s="16"/>
      <c r="M9" s="16"/>
      <c r="N9" s="16"/>
    </row>
    <row r="10" spans="1:14" s="17" customFormat="1" ht="23.1" customHeight="1" x14ac:dyDescent="0.3">
      <c r="A10" s="198" t="s">
        <v>51</v>
      </c>
      <c r="B10" s="198"/>
      <c r="C10" s="198"/>
      <c r="D10" s="198"/>
      <c r="F10" s="183" t="s">
        <v>66</v>
      </c>
      <c r="G10" s="184"/>
      <c r="H10" s="185"/>
      <c r="I10" s="18"/>
      <c r="J10" s="18"/>
      <c r="K10" s="18"/>
      <c r="L10" s="18"/>
      <c r="M10" s="19"/>
      <c r="N10" s="20"/>
    </row>
    <row r="11" spans="1:14" s="24" customFormat="1" ht="12.75" customHeight="1" x14ac:dyDescent="0.25">
      <c r="A11" s="21" t="s">
        <v>21</v>
      </c>
      <c r="B11" s="22" t="s">
        <v>22</v>
      </c>
      <c r="C11" s="22" t="s">
        <v>23</v>
      </c>
      <c r="D11" s="23" t="s">
        <v>25</v>
      </c>
      <c r="F11" s="186"/>
      <c r="G11" s="187"/>
      <c r="H11" s="188"/>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78" t="s">
        <v>53</v>
      </c>
      <c r="B27" s="179"/>
      <c r="C27" s="179"/>
      <c r="D27" s="96">
        <f>SUM(Grass_57[Amount])</f>
        <v>0</v>
      </c>
      <c r="F27" s="173" t="s">
        <v>33</v>
      </c>
      <c r="G27" s="174"/>
      <c r="H27" s="174"/>
      <c r="I27" s="35"/>
      <c r="J27" s="35"/>
      <c r="K27" s="35"/>
      <c r="L27" s="35"/>
      <c r="M27" s="36"/>
      <c r="N27" s="37"/>
    </row>
    <row r="28" spans="1:14" s="40" customFormat="1" ht="11.1" customHeight="1" x14ac:dyDescent="0.3">
      <c r="A28" s="38"/>
      <c r="B28" s="38"/>
      <c r="C28" s="38"/>
      <c r="D28" s="39"/>
      <c r="F28" s="173"/>
      <c r="G28" s="174"/>
      <c r="H28" s="174"/>
      <c r="I28" s="35"/>
      <c r="J28" s="35"/>
      <c r="K28" s="35"/>
      <c r="L28" s="35"/>
      <c r="M28" s="36"/>
      <c r="N28" s="37"/>
    </row>
    <row r="29" spans="1:14" s="17" customFormat="1" ht="23.1" customHeight="1" x14ac:dyDescent="0.3">
      <c r="A29" s="191" t="s">
        <v>67</v>
      </c>
      <c r="B29" s="192"/>
      <c r="C29" s="192"/>
      <c r="D29" s="193"/>
      <c r="F29" s="183" t="s">
        <v>52</v>
      </c>
      <c r="G29" s="184"/>
      <c r="H29" s="185"/>
      <c r="I29" s="18"/>
      <c r="J29" s="18"/>
      <c r="K29" s="18"/>
      <c r="L29" s="18"/>
      <c r="M29" s="19"/>
      <c r="N29" s="20"/>
    </row>
    <row r="30" spans="1:14" s="41" customFormat="1" ht="12.75" customHeight="1" x14ac:dyDescent="0.25">
      <c r="A30" s="21" t="s">
        <v>21</v>
      </c>
      <c r="B30" s="22" t="s">
        <v>22</v>
      </c>
      <c r="C30" s="22" t="s">
        <v>23</v>
      </c>
      <c r="D30" s="23" t="s">
        <v>25</v>
      </c>
      <c r="F30" s="186"/>
      <c r="G30" s="187"/>
      <c r="H30" s="188"/>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19"/>
      <c r="J44" s="29"/>
      <c r="K44" s="29"/>
      <c r="L44" s="119"/>
      <c r="M44" s="30"/>
      <c r="N44" s="16"/>
    </row>
    <row r="45" spans="1:14" x14ac:dyDescent="0.3">
      <c r="A45" s="106"/>
      <c r="B45" s="107"/>
      <c r="C45" s="107"/>
      <c r="D45" s="114"/>
      <c r="F45" s="103"/>
      <c r="G45" s="104"/>
      <c r="H45" s="109"/>
      <c r="I45" s="119"/>
      <c r="J45" s="29"/>
      <c r="K45" s="29"/>
      <c r="L45" s="119"/>
      <c r="M45" s="30"/>
      <c r="N45" s="16"/>
    </row>
    <row r="46" spans="1:14" s="34" customFormat="1" x14ac:dyDescent="0.3">
      <c r="A46" s="178" t="s">
        <v>54</v>
      </c>
      <c r="B46" s="179"/>
      <c r="C46" s="179"/>
      <c r="D46" s="96">
        <f>SUM(Tree_57[Amount])</f>
        <v>0</v>
      </c>
      <c r="F46" s="173" t="s">
        <v>33</v>
      </c>
      <c r="G46" s="174"/>
      <c r="H46" s="174"/>
      <c r="I46" s="43"/>
      <c r="J46" s="43"/>
      <c r="K46" s="43"/>
      <c r="L46" s="43"/>
      <c r="M46" s="36"/>
      <c r="N46" s="37"/>
    </row>
    <row r="47" spans="1:14" s="40" customFormat="1" ht="11.1" customHeight="1" x14ac:dyDescent="0.3">
      <c r="A47" s="38"/>
      <c r="B47" s="38"/>
      <c r="C47" s="38"/>
      <c r="D47" s="39"/>
      <c r="F47" s="173"/>
      <c r="G47" s="174"/>
      <c r="H47" s="174"/>
      <c r="I47" s="43"/>
      <c r="J47" s="43"/>
      <c r="K47" s="43"/>
      <c r="L47" s="43"/>
      <c r="M47" s="36"/>
      <c r="N47" s="37"/>
    </row>
    <row r="48" spans="1:14" s="17" customFormat="1" ht="23.1" customHeight="1" x14ac:dyDescent="0.3">
      <c r="A48" s="191" t="s">
        <v>68</v>
      </c>
      <c r="B48" s="192"/>
      <c r="C48" s="192"/>
      <c r="D48" s="193"/>
      <c r="F48" s="183" t="s">
        <v>55</v>
      </c>
      <c r="G48" s="184"/>
      <c r="H48" s="185"/>
      <c r="I48" s="44"/>
      <c r="J48" s="44"/>
      <c r="K48" s="44"/>
      <c r="L48" s="44"/>
      <c r="M48" s="19"/>
      <c r="N48" s="20"/>
    </row>
    <row r="49" spans="1:14" s="41" customFormat="1" ht="12.75" customHeight="1" x14ac:dyDescent="0.25">
      <c r="A49" s="21" t="s">
        <v>21</v>
      </c>
      <c r="B49" s="22" t="s">
        <v>22</v>
      </c>
      <c r="C49" s="22" t="s">
        <v>23</v>
      </c>
      <c r="D49" s="23" t="s">
        <v>25</v>
      </c>
      <c r="F49" s="186"/>
      <c r="G49" s="187"/>
      <c r="H49" s="188"/>
      <c r="I49" s="119"/>
      <c r="J49" s="119"/>
      <c r="K49" s="119"/>
      <c r="L49" s="119"/>
      <c r="M49" s="30"/>
      <c r="N49" s="42"/>
    </row>
    <row r="50" spans="1:14" x14ac:dyDescent="0.3">
      <c r="A50" s="100"/>
      <c r="B50" s="101"/>
      <c r="C50" s="101"/>
      <c r="D50" s="112"/>
      <c r="F50" s="103"/>
      <c r="G50" s="104"/>
      <c r="H50" s="109"/>
      <c r="I50" s="119"/>
      <c r="J50" s="119"/>
      <c r="K50" s="119"/>
      <c r="L50" s="119"/>
      <c r="M50" s="30"/>
      <c r="N50" s="16"/>
    </row>
    <row r="51" spans="1:14" x14ac:dyDescent="0.3">
      <c r="A51" s="106"/>
      <c r="B51" s="107"/>
      <c r="C51" s="107"/>
      <c r="D51" s="113"/>
      <c r="F51" s="103"/>
      <c r="G51" s="104"/>
      <c r="H51" s="109"/>
      <c r="I51" s="119"/>
      <c r="J51" s="119"/>
      <c r="K51" s="119"/>
      <c r="L51" s="119"/>
      <c r="M51" s="30"/>
      <c r="N51" s="16"/>
    </row>
    <row r="52" spans="1:14" x14ac:dyDescent="0.3">
      <c r="A52" s="106"/>
      <c r="B52" s="107"/>
      <c r="C52" s="107"/>
      <c r="D52" s="114"/>
      <c r="F52" s="103"/>
      <c r="H52" s="109"/>
      <c r="I52" s="119"/>
      <c r="J52" s="119"/>
      <c r="K52" s="119"/>
      <c r="L52" s="119"/>
      <c r="M52" s="30"/>
      <c r="N52" s="16"/>
    </row>
    <row r="53" spans="1:14" x14ac:dyDescent="0.3">
      <c r="A53" s="106"/>
      <c r="B53" s="107"/>
      <c r="C53" s="107"/>
      <c r="D53" s="113"/>
      <c r="F53" s="103"/>
      <c r="G53" s="104"/>
      <c r="H53" s="109"/>
      <c r="I53" s="119"/>
      <c r="J53" s="119"/>
      <c r="K53" s="119"/>
      <c r="L53" s="119"/>
      <c r="M53" s="30"/>
      <c r="N53" s="16"/>
    </row>
    <row r="54" spans="1:14" x14ac:dyDescent="0.3">
      <c r="A54" s="106"/>
      <c r="B54" s="107"/>
      <c r="C54" s="107"/>
      <c r="D54" s="114"/>
      <c r="F54" s="103"/>
      <c r="G54" s="104"/>
      <c r="H54" s="109"/>
      <c r="I54" s="119"/>
      <c r="J54" s="119"/>
      <c r="K54" s="119"/>
      <c r="L54" s="119"/>
      <c r="M54" s="30"/>
      <c r="N54" s="16"/>
    </row>
    <row r="55" spans="1:14" x14ac:dyDescent="0.3">
      <c r="A55" s="106"/>
      <c r="B55" s="107"/>
      <c r="C55" s="107"/>
      <c r="D55" s="113"/>
      <c r="F55" s="103"/>
      <c r="G55" s="104"/>
      <c r="H55" s="109"/>
      <c r="I55" s="119"/>
      <c r="J55" s="119"/>
      <c r="K55" s="119"/>
      <c r="L55" s="119"/>
      <c r="M55" s="30"/>
      <c r="N55" s="16"/>
    </row>
    <row r="56" spans="1:14" x14ac:dyDescent="0.3">
      <c r="A56" s="106"/>
      <c r="B56" s="107"/>
      <c r="C56" s="107"/>
      <c r="D56" s="114"/>
      <c r="F56" s="103"/>
      <c r="G56" s="104"/>
      <c r="H56" s="109"/>
      <c r="I56" s="119"/>
      <c r="J56" s="119"/>
      <c r="K56" s="119"/>
      <c r="L56" s="119"/>
      <c r="M56" s="30"/>
      <c r="N56" s="16"/>
    </row>
    <row r="57" spans="1:14" x14ac:dyDescent="0.3">
      <c r="A57" s="106"/>
      <c r="B57" s="107"/>
      <c r="C57" s="107"/>
      <c r="D57" s="113"/>
      <c r="F57" s="103"/>
      <c r="G57" s="104"/>
      <c r="H57" s="109"/>
      <c r="I57" s="119"/>
      <c r="J57" s="119"/>
      <c r="K57" s="119"/>
      <c r="L57" s="119"/>
      <c r="M57" s="30"/>
      <c r="N57" s="16"/>
    </row>
    <row r="58" spans="1:14" x14ac:dyDescent="0.3">
      <c r="A58" s="106"/>
      <c r="B58" s="107"/>
      <c r="C58" s="107"/>
      <c r="D58" s="114"/>
      <c r="F58" s="103"/>
      <c r="G58" s="104"/>
      <c r="H58" s="109"/>
      <c r="I58" s="119"/>
      <c r="J58" s="119"/>
      <c r="K58" s="119"/>
      <c r="L58" s="119"/>
      <c r="M58" s="30"/>
      <c r="N58" s="16"/>
    </row>
    <row r="59" spans="1:14" x14ac:dyDescent="0.3">
      <c r="A59" s="106"/>
      <c r="B59" s="107"/>
      <c r="C59" s="107"/>
      <c r="D59" s="113"/>
      <c r="F59" s="103"/>
      <c r="G59" s="104"/>
      <c r="H59" s="109"/>
      <c r="I59" s="119"/>
      <c r="J59" s="190"/>
      <c r="K59" s="190"/>
      <c r="L59" s="119"/>
      <c r="M59" s="30"/>
      <c r="N59" s="16"/>
    </row>
    <row r="60" spans="1:14" x14ac:dyDescent="0.3">
      <c r="A60" s="106"/>
      <c r="B60" s="107"/>
      <c r="C60" s="107"/>
      <c r="D60" s="114"/>
      <c r="F60" s="103"/>
      <c r="G60" s="104"/>
      <c r="H60" s="109"/>
      <c r="I60" s="189"/>
      <c r="J60" s="189"/>
      <c r="K60" s="189"/>
      <c r="L60" s="189"/>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78" t="s">
        <v>56</v>
      </c>
      <c r="B65" s="179"/>
      <c r="C65" s="179"/>
      <c r="D65" s="96">
        <f>SUM(Pest_57[Amount])</f>
        <v>0</v>
      </c>
      <c r="F65" s="173" t="s">
        <v>33</v>
      </c>
      <c r="G65" s="174"/>
      <c r="H65" s="174"/>
    </row>
    <row r="66" spans="1:8" x14ac:dyDescent="0.3">
      <c r="F66" s="173"/>
      <c r="G66" s="174"/>
      <c r="H66" s="174"/>
    </row>
    <row r="67" spans="1:8" ht="17.399999999999999" x14ac:dyDescent="0.3">
      <c r="A67" s="198" t="s">
        <v>69</v>
      </c>
      <c r="B67" s="198"/>
      <c r="C67" s="198"/>
      <c r="D67" s="198"/>
      <c r="E67" s="17"/>
      <c r="F67" s="183" t="s">
        <v>57</v>
      </c>
      <c r="G67" s="184"/>
      <c r="H67" s="185"/>
    </row>
    <row r="68" spans="1:8" x14ac:dyDescent="0.3">
      <c r="A68" s="21" t="s">
        <v>21</v>
      </c>
      <c r="B68" s="22" t="s">
        <v>22</v>
      </c>
      <c r="C68" s="22" t="s">
        <v>23</v>
      </c>
      <c r="D68" s="23" t="s">
        <v>25</v>
      </c>
      <c r="E68" s="24"/>
      <c r="F68" s="186"/>
      <c r="G68" s="187"/>
      <c r="H68" s="188"/>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78" t="s">
        <v>58</v>
      </c>
      <c r="B84" s="179"/>
      <c r="C84" s="179"/>
      <c r="D84" s="96">
        <f>SUM(Garbage_57[Amount])</f>
        <v>0</v>
      </c>
      <c r="E84" s="34"/>
      <c r="F84" s="173" t="s">
        <v>33</v>
      </c>
      <c r="G84" s="174"/>
      <c r="H84" s="174"/>
    </row>
    <row r="85" spans="1:8" x14ac:dyDescent="0.3">
      <c r="A85" s="38"/>
      <c r="B85" s="38"/>
      <c r="C85" s="38"/>
      <c r="D85" s="39"/>
      <c r="E85" s="40"/>
      <c r="F85" s="173"/>
      <c r="G85" s="174"/>
      <c r="H85" s="174"/>
    </row>
    <row r="86" spans="1:8" ht="17.399999999999999" x14ac:dyDescent="0.3">
      <c r="A86" s="191" t="s">
        <v>59</v>
      </c>
      <c r="B86" s="192"/>
      <c r="C86" s="192"/>
      <c r="D86" s="193"/>
      <c r="E86" s="17"/>
      <c r="F86" s="183" t="s">
        <v>60</v>
      </c>
      <c r="G86" s="184"/>
      <c r="H86" s="185"/>
    </row>
    <row r="87" spans="1:8" x14ac:dyDescent="0.3">
      <c r="A87" s="21" t="s">
        <v>21</v>
      </c>
      <c r="B87" s="22" t="s">
        <v>22</v>
      </c>
      <c r="C87" s="22" t="s">
        <v>23</v>
      </c>
      <c r="D87" s="23" t="s">
        <v>25</v>
      </c>
      <c r="E87" s="41"/>
      <c r="F87" s="186"/>
      <c r="G87" s="187"/>
      <c r="H87" s="188"/>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78" t="s">
        <v>61</v>
      </c>
      <c r="B103" s="179"/>
      <c r="C103" s="179"/>
      <c r="D103" s="96">
        <f>SUM(Boarding_57[Amount])</f>
        <v>0</v>
      </c>
      <c r="E103" s="34"/>
      <c r="F103" s="173" t="s">
        <v>33</v>
      </c>
      <c r="G103" s="174"/>
      <c r="H103" s="174"/>
    </row>
    <row r="104" spans="1:8" x14ac:dyDescent="0.3">
      <c r="A104" s="38"/>
      <c r="B104" s="38"/>
      <c r="C104" s="38"/>
      <c r="D104" s="39"/>
      <c r="E104" s="40"/>
      <c r="F104" s="173"/>
      <c r="G104" s="174"/>
      <c r="H104" s="174"/>
    </row>
    <row r="105" spans="1:8" ht="17.399999999999999" x14ac:dyDescent="0.3">
      <c r="A105" s="191" t="s">
        <v>70</v>
      </c>
      <c r="B105" s="192"/>
      <c r="C105" s="192"/>
      <c r="D105" s="193"/>
      <c r="E105" s="17"/>
      <c r="F105" s="183" t="s">
        <v>62</v>
      </c>
      <c r="G105" s="184"/>
      <c r="H105" s="185"/>
    </row>
    <row r="106" spans="1:8" x14ac:dyDescent="0.3">
      <c r="A106" s="21" t="s">
        <v>21</v>
      </c>
      <c r="B106" s="22" t="s">
        <v>22</v>
      </c>
      <c r="C106" s="22" t="s">
        <v>23</v>
      </c>
      <c r="D106" s="23" t="s">
        <v>25</v>
      </c>
      <c r="E106" s="41"/>
      <c r="F106" s="186"/>
      <c r="G106" s="187"/>
      <c r="H106" s="188"/>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78" t="s">
        <v>63</v>
      </c>
      <c r="B122" s="179"/>
      <c r="C122" s="179"/>
      <c r="D122" s="96">
        <f>SUM(Fence_57[Amount])</f>
        <v>0</v>
      </c>
      <c r="E122" s="34"/>
      <c r="F122" s="173" t="s">
        <v>33</v>
      </c>
      <c r="G122" s="174"/>
      <c r="H122" s="174"/>
    </row>
    <row r="123" spans="1:8" x14ac:dyDescent="0.3">
      <c r="F123" s="173"/>
      <c r="G123" s="174"/>
      <c r="H123" s="174"/>
    </row>
    <row r="124" spans="1:8" ht="17.399999999999999" x14ac:dyDescent="0.3">
      <c r="A124" s="191" t="s">
        <v>26</v>
      </c>
      <c r="B124" s="192"/>
      <c r="C124" s="192"/>
      <c r="D124" s="193"/>
      <c r="E124" s="17"/>
      <c r="F124" s="183" t="s">
        <v>11</v>
      </c>
      <c r="G124" s="184"/>
      <c r="H124" s="185"/>
    </row>
    <row r="125" spans="1:8" x14ac:dyDescent="0.3">
      <c r="A125" s="21" t="s">
        <v>21</v>
      </c>
      <c r="B125" s="22" t="s">
        <v>22</v>
      </c>
      <c r="C125" s="22" t="s">
        <v>23</v>
      </c>
      <c r="D125" s="23" t="s">
        <v>25</v>
      </c>
      <c r="E125" s="41"/>
      <c r="F125" s="186"/>
      <c r="G125" s="187"/>
      <c r="H125" s="188"/>
    </row>
    <row r="126" spans="1:8" x14ac:dyDescent="0.3">
      <c r="A126" s="100"/>
      <c r="B126" s="101"/>
      <c r="C126" s="101"/>
      <c r="D126" s="112">
        <v>19510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78" t="s">
        <v>27</v>
      </c>
      <c r="B141" s="179"/>
      <c r="C141" s="179"/>
      <c r="D141" s="96">
        <f>SUM(Demolition_57[Amount])</f>
        <v>19510</v>
      </c>
      <c r="E141" s="34"/>
      <c r="F141" s="173" t="s">
        <v>33</v>
      </c>
      <c r="G141" s="174"/>
      <c r="H141" s="174"/>
    </row>
    <row r="142" spans="1:8" x14ac:dyDescent="0.3">
      <c r="A142" s="38"/>
      <c r="B142" s="38"/>
      <c r="C142" s="38"/>
      <c r="D142" s="39"/>
      <c r="E142" s="40"/>
      <c r="F142" s="173"/>
      <c r="G142" s="174"/>
      <c r="H142" s="174"/>
    </row>
    <row r="143" spans="1:8" ht="17.399999999999999" x14ac:dyDescent="0.3">
      <c r="A143" s="191" t="s">
        <v>64</v>
      </c>
      <c r="B143" s="192"/>
      <c r="C143" s="192"/>
      <c r="D143" s="193"/>
      <c r="E143" s="17"/>
      <c r="F143" s="183" t="s">
        <v>44</v>
      </c>
      <c r="G143" s="184"/>
      <c r="H143" s="185"/>
    </row>
    <row r="144" spans="1:8" x14ac:dyDescent="0.3">
      <c r="A144" s="21" t="s">
        <v>21</v>
      </c>
      <c r="B144" s="22" t="s">
        <v>22</v>
      </c>
      <c r="C144" s="22" t="s">
        <v>23</v>
      </c>
      <c r="D144" s="23" t="s">
        <v>25</v>
      </c>
      <c r="E144" s="41"/>
      <c r="F144" s="186"/>
      <c r="G144" s="187"/>
      <c r="H144" s="188"/>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78" t="s">
        <v>65</v>
      </c>
      <c r="B160" s="179"/>
      <c r="C160" s="179"/>
      <c r="D160" s="96">
        <f>SUM(Rehab_57[Amount])</f>
        <v>0</v>
      </c>
      <c r="E160" s="34"/>
      <c r="F160" s="173" t="s">
        <v>33</v>
      </c>
      <c r="G160" s="174"/>
      <c r="H160" s="174"/>
    </row>
    <row r="161" spans="6:8" x14ac:dyDescent="0.3">
      <c r="F161" s="173"/>
      <c r="G161" s="174"/>
      <c r="H161" s="174"/>
    </row>
  </sheetData>
  <sheetProtection algorithmName="SHA-512" hashValue="JZ25aQgGfFxQAYI3vMeMv5cawslKYjPxC5Rc7BG9w57uab8MpWhzsaI60jef/r5APkufhGaJtaj1/f0LeflrJg==" saltValue="csHJMzpNXCEcqtv/TGn06A=="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pageSetUpPr fitToPage="1"/>
  </sheetPr>
  <dimension ref="A1:N161"/>
  <sheetViews>
    <sheetView showGridLines="0" zoomScaleNormal="100" workbookViewId="0">
      <pane ySplit="9" topLeftCell="A110"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5" t="s">
        <v>24</v>
      </c>
      <c r="B1" s="175"/>
      <c r="C1" s="175"/>
      <c r="D1" s="175"/>
      <c r="E1" s="1"/>
      <c r="F1" s="2"/>
      <c r="G1" s="2"/>
      <c r="H1" s="1"/>
    </row>
    <row r="2" spans="1:14" ht="24.9" customHeight="1" x14ac:dyDescent="0.3">
      <c r="A2" s="176" t="s">
        <v>71</v>
      </c>
      <c r="B2" s="176"/>
      <c r="C2" s="176"/>
      <c r="D2" s="176"/>
      <c r="E2" s="4"/>
      <c r="F2" s="120"/>
      <c r="G2" s="120"/>
      <c r="H2" s="5"/>
    </row>
    <row r="3" spans="1:14" ht="31.5" customHeight="1" x14ac:dyDescent="0.3">
      <c r="A3" s="176"/>
      <c r="B3" s="176"/>
      <c r="C3" s="176"/>
      <c r="D3" s="176"/>
      <c r="E3" s="4"/>
      <c r="F3" s="120"/>
      <c r="G3" s="120"/>
      <c r="H3" s="5"/>
    </row>
    <row r="4" spans="1:14" ht="15" customHeight="1" x14ac:dyDescent="0.25">
      <c r="A4" s="75" t="s">
        <v>19</v>
      </c>
      <c r="B4" s="194" t="str">
        <f>IF('Summary Sheet'!B90="","",'Summary Sheet'!B90)</f>
        <v>2322 S KOSTNER AVE</v>
      </c>
      <c r="C4" s="194"/>
      <c r="D4" s="120"/>
      <c r="E4" s="4"/>
      <c r="F4" s="120"/>
      <c r="G4" s="120"/>
      <c r="H4" s="5"/>
    </row>
    <row r="5" spans="1:14" ht="15" customHeight="1" x14ac:dyDescent="0.25">
      <c r="A5" s="75" t="s">
        <v>20</v>
      </c>
      <c r="B5" s="195" t="str">
        <f>IF('Summary Sheet'!C90="","",'Summary Sheet'!C90)</f>
        <v/>
      </c>
      <c r="C5" s="195"/>
      <c r="D5" s="120"/>
      <c r="E5" s="4"/>
      <c r="F5" s="120"/>
      <c r="G5" s="120"/>
      <c r="H5" s="5"/>
    </row>
    <row r="6" spans="1:14" ht="15" customHeight="1" x14ac:dyDescent="0.25">
      <c r="A6" s="75" t="s">
        <v>36</v>
      </c>
      <c r="B6" s="177"/>
      <c r="C6" s="177"/>
      <c r="D6" s="6"/>
      <c r="E6" s="7"/>
    </row>
    <row r="7" spans="1:14" ht="15" customHeight="1" x14ac:dyDescent="0.25">
      <c r="A7" s="7"/>
      <c r="B7" s="196" t="s">
        <v>34</v>
      </c>
      <c r="C7" s="196"/>
      <c r="D7" s="10"/>
    </row>
    <row r="8" spans="1:14" ht="20.100000000000001" customHeight="1" x14ac:dyDescent="0.25">
      <c r="B8" s="11"/>
      <c r="C8" s="11"/>
      <c r="D8" s="12" t="s">
        <v>31</v>
      </c>
      <c r="F8" s="180" t="s">
        <v>32</v>
      </c>
      <c r="G8" s="181"/>
      <c r="H8" s="182"/>
    </row>
    <row r="9" spans="1:14" s="14" customFormat="1" ht="20.100000000000001" customHeight="1" x14ac:dyDescent="0.25">
      <c r="A9" s="197"/>
      <c r="B9" s="197"/>
      <c r="C9" s="197"/>
      <c r="D9" s="13">
        <f>SUM(D27,D46,D65,D84,D103,D122,D141,D160)</f>
        <v>22410</v>
      </c>
      <c r="F9" s="15" t="s">
        <v>28</v>
      </c>
      <c r="G9" s="15" t="s">
        <v>29</v>
      </c>
      <c r="H9" s="15" t="s">
        <v>30</v>
      </c>
      <c r="I9" s="16"/>
      <c r="J9" s="16"/>
      <c r="K9" s="16"/>
      <c r="L9" s="16"/>
      <c r="M9" s="16"/>
      <c r="N9" s="16"/>
    </row>
    <row r="10" spans="1:14" s="17" customFormat="1" ht="23.1" customHeight="1" x14ac:dyDescent="0.3">
      <c r="A10" s="198" t="s">
        <v>51</v>
      </c>
      <c r="B10" s="198"/>
      <c r="C10" s="198"/>
      <c r="D10" s="198"/>
      <c r="F10" s="183" t="s">
        <v>66</v>
      </c>
      <c r="G10" s="184"/>
      <c r="H10" s="185"/>
      <c r="I10" s="18"/>
      <c r="J10" s="18"/>
      <c r="K10" s="18"/>
      <c r="L10" s="18"/>
      <c r="M10" s="19"/>
      <c r="N10" s="20"/>
    </row>
    <row r="11" spans="1:14" s="24" customFormat="1" ht="12.75" customHeight="1" x14ac:dyDescent="0.25">
      <c r="A11" s="21" t="s">
        <v>21</v>
      </c>
      <c r="B11" s="22" t="s">
        <v>22</v>
      </c>
      <c r="C11" s="22" t="s">
        <v>23</v>
      </c>
      <c r="D11" s="23" t="s">
        <v>25</v>
      </c>
      <c r="F11" s="186"/>
      <c r="G11" s="187"/>
      <c r="H11" s="188"/>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78" t="s">
        <v>53</v>
      </c>
      <c r="B27" s="179"/>
      <c r="C27" s="179"/>
      <c r="D27" s="96">
        <f>SUM(Grass_58[Amount])</f>
        <v>0</v>
      </c>
      <c r="F27" s="173" t="s">
        <v>33</v>
      </c>
      <c r="G27" s="174"/>
      <c r="H27" s="174"/>
      <c r="I27" s="35"/>
      <c r="J27" s="35"/>
      <c r="K27" s="35"/>
      <c r="L27" s="35"/>
      <c r="M27" s="36"/>
      <c r="N27" s="37"/>
    </row>
    <row r="28" spans="1:14" s="40" customFormat="1" ht="11.1" customHeight="1" x14ac:dyDescent="0.3">
      <c r="A28" s="38"/>
      <c r="B28" s="38"/>
      <c r="C28" s="38"/>
      <c r="D28" s="39"/>
      <c r="F28" s="173"/>
      <c r="G28" s="174"/>
      <c r="H28" s="174"/>
      <c r="I28" s="35"/>
      <c r="J28" s="35"/>
      <c r="K28" s="35"/>
      <c r="L28" s="35"/>
      <c r="M28" s="36"/>
      <c r="N28" s="37"/>
    </row>
    <row r="29" spans="1:14" s="17" customFormat="1" ht="23.1" customHeight="1" x14ac:dyDescent="0.3">
      <c r="A29" s="191" t="s">
        <v>67</v>
      </c>
      <c r="B29" s="192"/>
      <c r="C29" s="192"/>
      <c r="D29" s="193"/>
      <c r="F29" s="183" t="s">
        <v>52</v>
      </c>
      <c r="G29" s="184"/>
      <c r="H29" s="185"/>
      <c r="I29" s="18"/>
      <c r="J29" s="18"/>
      <c r="K29" s="18"/>
      <c r="L29" s="18"/>
      <c r="M29" s="19"/>
      <c r="N29" s="20"/>
    </row>
    <row r="30" spans="1:14" s="41" customFormat="1" ht="12.75" customHeight="1" x14ac:dyDescent="0.25">
      <c r="A30" s="21" t="s">
        <v>21</v>
      </c>
      <c r="B30" s="22" t="s">
        <v>22</v>
      </c>
      <c r="C30" s="22" t="s">
        <v>23</v>
      </c>
      <c r="D30" s="23" t="s">
        <v>25</v>
      </c>
      <c r="F30" s="186"/>
      <c r="G30" s="187"/>
      <c r="H30" s="188"/>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19"/>
      <c r="J44" s="29"/>
      <c r="K44" s="29"/>
      <c r="L44" s="119"/>
      <c r="M44" s="30"/>
      <c r="N44" s="16"/>
    </row>
    <row r="45" spans="1:14" x14ac:dyDescent="0.3">
      <c r="A45" s="106"/>
      <c r="B45" s="107"/>
      <c r="C45" s="107"/>
      <c r="D45" s="114"/>
      <c r="F45" s="103"/>
      <c r="G45" s="104"/>
      <c r="H45" s="109"/>
      <c r="I45" s="119"/>
      <c r="J45" s="29"/>
      <c r="K45" s="29"/>
      <c r="L45" s="119"/>
      <c r="M45" s="30"/>
      <c r="N45" s="16"/>
    </row>
    <row r="46" spans="1:14" s="34" customFormat="1" x14ac:dyDescent="0.3">
      <c r="A46" s="178" t="s">
        <v>54</v>
      </c>
      <c r="B46" s="179"/>
      <c r="C46" s="179"/>
      <c r="D46" s="96">
        <f>SUM(Tree_58[Amount])</f>
        <v>0</v>
      </c>
      <c r="F46" s="173" t="s">
        <v>33</v>
      </c>
      <c r="G46" s="174"/>
      <c r="H46" s="174"/>
      <c r="I46" s="43"/>
      <c r="J46" s="43"/>
      <c r="K46" s="43"/>
      <c r="L46" s="43"/>
      <c r="M46" s="36"/>
      <c r="N46" s="37"/>
    </row>
    <row r="47" spans="1:14" s="40" customFormat="1" ht="11.1" customHeight="1" x14ac:dyDescent="0.3">
      <c r="A47" s="38"/>
      <c r="B47" s="38"/>
      <c r="C47" s="38"/>
      <c r="D47" s="39"/>
      <c r="F47" s="173"/>
      <c r="G47" s="174"/>
      <c r="H47" s="174"/>
      <c r="I47" s="43"/>
      <c r="J47" s="43"/>
      <c r="K47" s="43"/>
      <c r="L47" s="43"/>
      <c r="M47" s="36"/>
      <c r="N47" s="37"/>
    </row>
    <row r="48" spans="1:14" s="17" customFormat="1" ht="23.1" customHeight="1" x14ac:dyDescent="0.3">
      <c r="A48" s="191" t="s">
        <v>68</v>
      </c>
      <c r="B48" s="192"/>
      <c r="C48" s="192"/>
      <c r="D48" s="193"/>
      <c r="F48" s="183" t="s">
        <v>55</v>
      </c>
      <c r="G48" s="184"/>
      <c r="H48" s="185"/>
      <c r="I48" s="44"/>
      <c r="J48" s="44"/>
      <c r="K48" s="44"/>
      <c r="L48" s="44"/>
      <c r="M48" s="19"/>
      <c r="N48" s="20"/>
    </row>
    <row r="49" spans="1:14" s="41" customFormat="1" ht="12.75" customHeight="1" x14ac:dyDescent="0.25">
      <c r="A49" s="21" t="s">
        <v>21</v>
      </c>
      <c r="B49" s="22" t="s">
        <v>22</v>
      </c>
      <c r="C49" s="22" t="s">
        <v>23</v>
      </c>
      <c r="D49" s="23" t="s">
        <v>25</v>
      </c>
      <c r="F49" s="186"/>
      <c r="G49" s="187"/>
      <c r="H49" s="188"/>
      <c r="I49" s="119"/>
      <c r="J49" s="119"/>
      <c r="K49" s="119"/>
      <c r="L49" s="119"/>
      <c r="M49" s="30"/>
      <c r="N49" s="42"/>
    </row>
    <row r="50" spans="1:14" x14ac:dyDescent="0.3">
      <c r="A50" s="100"/>
      <c r="B50" s="101"/>
      <c r="C50" s="101"/>
      <c r="D50" s="112"/>
      <c r="F50" s="103"/>
      <c r="G50" s="104"/>
      <c r="H50" s="109"/>
      <c r="I50" s="119"/>
      <c r="J50" s="119"/>
      <c r="K50" s="119"/>
      <c r="L50" s="119"/>
      <c r="M50" s="30"/>
      <c r="N50" s="16"/>
    </row>
    <row r="51" spans="1:14" x14ac:dyDescent="0.3">
      <c r="A51" s="106"/>
      <c r="B51" s="107"/>
      <c r="C51" s="107"/>
      <c r="D51" s="113"/>
      <c r="F51" s="103"/>
      <c r="G51" s="104"/>
      <c r="H51" s="109"/>
      <c r="I51" s="119"/>
      <c r="J51" s="119"/>
      <c r="K51" s="119"/>
      <c r="L51" s="119"/>
      <c r="M51" s="30"/>
      <c r="N51" s="16"/>
    </row>
    <row r="52" spans="1:14" x14ac:dyDescent="0.3">
      <c r="A52" s="106"/>
      <c r="B52" s="107"/>
      <c r="C52" s="107"/>
      <c r="D52" s="114"/>
      <c r="F52" s="103"/>
      <c r="H52" s="109"/>
      <c r="I52" s="119"/>
      <c r="J52" s="119"/>
      <c r="K52" s="119"/>
      <c r="L52" s="119"/>
      <c r="M52" s="30"/>
      <c r="N52" s="16"/>
    </row>
    <row r="53" spans="1:14" x14ac:dyDescent="0.3">
      <c r="A53" s="106"/>
      <c r="B53" s="107"/>
      <c r="C53" s="107"/>
      <c r="D53" s="113"/>
      <c r="F53" s="103"/>
      <c r="G53" s="104"/>
      <c r="H53" s="109"/>
      <c r="I53" s="119"/>
      <c r="J53" s="119"/>
      <c r="K53" s="119"/>
      <c r="L53" s="119"/>
      <c r="M53" s="30"/>
      <c r="N53" s="16"/>
    </row>
    <row r="54" spans="1:14" x14ac:dyDescent="0.3">
      <c r="A54" s="106"/>
      <c r="B54" s="107"/>
      <c r="C54" s="107"/>
      <c r="D54" s="114"/>
      <c r="F54" s="103"/>
      <c r="G54" s="104"/>
      <c r="H54" s="109"/>
      <c r="I54" s="119"/>
      <c r="J54" s="119"/>
      <c r="K54" s="119"/>
      <c r="L54" s="119"/>
      <c r="M54" s="30"/>
      <c r="N54" s="16"/>
    </row>
    <row r="55" spans="1:14" x14ac:dyDescent="0.3">
      <c r="A55" s="106"/>
      <c r="B55" s="107"/>
      <c r="C55" s="107"/>
      <c r="D55" s="113"/>
      <c r="F55" s="103"/>
      <c r="G55" s="104"/>
      <c r="H55" s="109"/>
      <c r="I55" s="119"/>
      <c r="J55" s="119"/>
      <c r="K55" s="119"/>
      <c r="L55" s="119"/>
      <c r="M55" s="30"/>
      <c r="N55" s="16"/>
    </row>
    <row r="56" spans="1:14" x14ac:dyDescent="0.3">
      <c r="A56" s="106"/>
      <c r="B56" s="107"/>
      <c r="C56" s="107"/>
      <c r="D56" s="114"/>
      <c r="F56" s="103"/>
      <c r="G56" s="104"/>
      <c r="H56" s="109"/>
      <c r="I56" s="119"/>
      <c r="J56" s="119"/>
      <c r="K56" s="119"/>
      <c r="L56" s="119"/>
      <c r="M56" s="30"/>
      <c r="N56" s="16"/>
    </row>
    <row r="57" spans="1:14" x14ac:dyDescent="0.3">
      <c r="A57" s="106"/>
      <c r="B57" s="107"/>
      <c r="C57" s="107"/>
      <c r="D57" s="113"/>
      <c r="F57" s="103"/>
      <c r="G57" s="104"/>
      <c r="H57" s="109"/>
      <c r="I57" s="119"/>
      <c r="J57" s="119"/>
      <c r="K57" s="119"/>
      <c r="L57" s="119"/>
      <c r="M57" s="30"/>
      <c r="N57" s="16"/>
    </row>
    <row r="58" spans="1:14" x14ac:dyDescent="0.3">
      <c r="A58" s="106"/>
      <c r="B58" s="107"/>
      <c r="C58" s="107"/>
      <c r="D58" s="114"/>
      <c r="F58" s="103"/>
      <c r="G58" s="104"/>
      <c r="H58" s="109"/>
      <c r="I58" s="119"/>
      <c r="J58" s="119"/>
      <c r="K58" s="119"/>
      <c r="L58" s="119"/>
      <c r="M58" s="30"/>
      <c r="N58" s="16"/>
    </row>
    <row r="59" spans="1:14" x14ac:dyDescent="0.3">
      <c r="A59" s="106"/>
      <c r="B59" s="107"/>
      <c r="C59" s="107"/>
      <c r="D59" s="113"/>
      <c r="F59" s="103"/>
      <c r="G59" s="104"/>
      <c r="H59" s="109"/>
      <c r="I59" s="119"/>
      <c r="J59" s="190"/>
      <c r="K59" s="190"/>
      <c r="L59" s="119"/>
      <c r="M59" s="30"/>
      <c r="N59" s="16"/>
    </row>
    <row r="60" spans="1:14" x14ac:dyDescent="0.3">
      <c r="A60" s="106"/>
      <c r="B60" s="107"/>
      <c r="C60" s="107"/>
      <c r="D60" s="114"/>
      <c r="F60" s="103"/>
      <c r="G60" s="104"/>
      <c r="H60" s="109"/>
      <c r="I60" s="189"/>
      <c r="J60" s="189"/>
      <c r="K60" s="189"/>
      <c r="L60" s="189"/>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78" t="s">
        <v>56</v>
      </c>
      <c r="B65" s="179"/>
      <c r="C65" s="179"/>
      <c r="D65" s="96">
        <f>SUM(Pest_58[Amount])</f>
        <v>0</v>
      </c>
      <c r="F65" s="173" t="s">
        <v>33</v>
      </c>
      <c r="G65" s="174"/>
      <c r="H65" s="174"/>
    </row>
    <row r="66" spans="1:8" x14ac:dyDescent="0.3">
      <c r="F66" s="173"/>
      <c r="G66" s="174"/>
      <c r="H66" s="174"/>
    </row>
    <row r="67" spans="1:8" ht="17.399999999999999" x14ac:dyDescent="0.3">
      <c r="A67" s="198" t="s">
        <v>69</v>
      </c>
      <c r="B67" s="198"/>
      <c r="C67" s="198"/>
      <c r="D67" s="198"/>
      <c r="E67" s="17"/>
      <c r="F67" s="183" t="s">
        <v>57</v>
      </c>
      <c r="G67" s="184"/>
      <c r="H67" s="185"/>
    </row>
    <row r="68" spans="1:8" x14ac:dyDescent="0.3">
      <c r="A68" s="21" t="s">
        <v>21</v>
      </c>
      <c r="B68" s="22" t="s">
        <v>22</v>
      </c>
      <c r="C68" s="22" t="s">
        <v>23</v>
      </c>
      <c r="D68" s="23" t="s">
        <v>25</v>
      </c>
      <c r="E68" s="24"/>
      <c r="F68" s="186"/>
      <c r="G68" s="187"/>
      <c r="H68" s="188"/>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78" t="s">
        <v>58</v>
      </c>
      <c r="B84" s="179"/>
      <c r="C84" s="179"/>
      <c r="D84" s="96">
        <f>SUM(Garbage_58[Amount])</f>
        <v>0</v>
      </c>
      <c r="E84" s="34"/>
      <c r="F84" s="173" t="s">
        <v>33</v>
      </c>
      <c r="G84" s="174"/>
      <c r="H84" s="174"/>
    </row>
    <row r="85" spans="1:8" x14ac:dyDescent="0.3">
      <c r="A85" s="38"/>
      <c r="B85" s="38"/>
      <c r="C85" s="38"/>
      <c r="D85" s="39"/>
      <c r="E85" s="40"/>
      <c r="F85" s="173"/>
      <c r="G85" s="174"/>
      <c r="H85" s="174"/>
    </row>
    <row r="86" spans="1:8" ht="17.399999999999999" x14ac:dyDescent="0.3">
      <c r="A86" s="191" t="s">
        <v>59</v>
      </c>
      <c r="B86" s="192"/>
      <c r="C86" s="192"/>
      <c r="D86" s="193"/>
      <c r="E86" s="17"/>
      <c r="F86" s="183" t="s">
        <v>60</v>
      </c>
      <c r="G86" s="184"/>
      <c r="H86" s="185"/>
    </row>
    <row r="87" spans="1:8" x14ac:dyDescent="0.3">
      <c r="A87" s="21" t="s">
        <v>21</v>
      </c>
      <c r="B87" s="22" t="s">
        <v>22</v>
      </c>
      <c r="C87" s="22" t="s">
        <v>23</v>
      </c>
      <c r="D87" s="23" t="s">
        <v>25</v>
      </c>
      <c r="E87" s="41"/>
      <c r="F87" s="186"/>
      <c r="G87" s="187"/>
      <c r="H87" s="188"/>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78" t="s">
        <v>61</v>
      </c>
      <c r="B103" s="179"/>
      <c r="C103" s="179"/>
      <c r="D103" s="96">
        <f>SUM(Boarding_58[Amount])</f>
        <v>0</v>
      </c>
      <c r="E103" s="34"/>
      <c r="F103" s="173" t="s">
        <v>33</v>
      </c>
      <c r="G103" s="174"/>
      <c r="H103" s="174"/>
    </row>
    <row r="104" spans="1:8" x14ac:dyDescent="0.3">
      <c r="A104" s="38"/>
      <c r="B104" s="38"/>
      <c r="C104" s="38"/>
      <c r="D104" s="39"/>
      <c r="E104" s="40"/>
      <c r="F104" s="173"/>
      <c r="G104" s="174"/>
      <c r="H104" s="174"/>
    </row>
    <row r="105" spans="1:8" ht="17.399999999999999" x14ac:dyDescent="0.3">
      <c r="A105" s="191" t="s">
        <v>70</v>
      </c>
      <c r="B105" s="192"/>
      <c r="C105" s="192"/>
      <c r="D105" s="193"/>
      <c r="E105" s="17"/>
      <c r="F105" s="183" t="s">
        <v>62</v>
      </c>
      <c r="G105" s="184"/>
      <c r="H105" s="185"/>
    </row>
    <row r="106" spans="1:8" x14ac:dyDescent="0.3">
      <c r="A106" s="21" t="s">
        <v>21</v>
      </c>
      <c r="B106" s="22" t="s">
        <v>22</v>
      </c>
      <c r="C106" s="22" t="s">
        <v>23</v>
      </c>
      <c r="D106" s="23" t="s">
        <v>25</v>
      </c>
      <c r="E106" s="41"/>
      <c r="F106" s="186"/>
      <c r="G106" s="187"/>
      <c r="H106" s="188"/>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78" t="s">
        <v>63</v>
      </c>
      <c r="B122" s="179"/>
      <c r="C122" s="179"/>
      <c r="D122" s="96">
        <f>SUM(Fence_58[Amount])</f>
        <v>0</v>
      </c>
      <c r="E122" s="34"/>
      <c r="F122" s="173" t="s">
        <v>33</v>
      </c>
      <c r="G122" s="174"/>
      <c r="H122" s="174"/>
    </row>
    <row r="123" spans="1:8" x14ac:dyDescent="0.3">
      <c r="F123" s="173"/>
      <c r="G123" s="174"/>
      <c r="H123" s="174"/>
    </row>
    <row r="124" spans="1:8" ht="17.399999999999999" x14ac:dyDescent="0.3">
      <c r="A124" s="191" t="s">
        <v>26</v>
      </c>
      <c r="B124" s="192"/>
      <c r="C124" s="192"/>
      <c r="D124" s="193"/>
      <c r="E124" s="17"/>
      <c r="F124" s="183" t="s">
        <v>11</v>
      </c>
      <c r="G124" s="184"/>
      <c r="H124" s="185"/>
    </row>
    <row r="125" spans="1:8" x14ac:dyDescent="0.3">
      <c r="A125" s="21" t="s">
        <v>21</v>
      </c>
      <c r="B125" s="22" t="s">
        <v>22</v>
      </c>
      <c r="C125" s="22" t="s">
        <v>23</v>
      </c>
      <c r="D125" s="23" t="s">
        <v>25</v>
      </c>
      <c r="E125" s="41"/>
      <c r="F125" s="186"/>
      <c r="G125" s="187"/>
      <c r="H125" s="188"/>
    </row>
    <row r="126" spans="1:8" x14ac:dyDescent="0.3">
      <c r="A126" s="100"/>
      <c r="B126" s="101"/>
      <c r="C126" s="101"/>
      <c r="D126" s="112">
        <v>22410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78" t="s">
        <v>27</v>
      </c>
      <c r="B141" s="179"/>
      <c r="C141" s="179"/>
      <c r="D141" s="96">
        <f>SUM(Demolition_58[Amount])</f>
        <v>22410</v>
      </c>
      <c r="E141" s="34"/>
      <c r="F141" s="173" t="s">
        <v>33</v>
      </c>
      <c r="G141" s="174"/>
      <c r="H141" s="174"/>
    </row>
    <row r="142" spans="1:8" x14ac:dyDescent="0.3">
      <c r="A142" s="38"/>
      <c r="B142" s="38"/>
      <c r="C142" s="38"/>
      <c r="D142" s="39"/>
      <c r="E142" s="40"/>
      <c r="F142" s="173"/>
      <c r="G142" s="174"/>
      <c r="H142" s="174"/>
    </row>
    <row r="143" spans="1:8" ht="17.399999999999999" x14ac:dyDescent="0.3">
      <c r="A143" s="191" t="s">
        <v>64</v>
      </c>
      <c r="B143" s="192"/>
      <c r="C143" s="192"/>
      <c r="D143" s="193"/>
      <c r="E143" s="17"/>
      <c r="F143" s="183" t="s">
        <v>44</v>
      </c>
      <c r="G143" s="184"/>
      <c r="H143" s="185"/>
    </row>
    <row r="144" spans="1:8" x14ac:dyDescent="0.3">
      <c r="A144" s="21" t="s">
        <v>21</v>
      </c>
      <c r="B144" s="22" t="s">
        <v>22</v>
      </c>
      <c r="C144" s="22" t="s">
        <v>23</v>
      </c>
      <c r="D144" s="23" t="s">
        <v>25</v>
      </c>
      <c r="E144" s="41"/>
      <c r="F144" s="186"/>
      <c r="G144" s="187"/>
      <c r="H144" s="188"/>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78" t="s">
        <v>65</v>
      </c>
      <c r="B160" s="179"/>
      <c r="C160" s="179"/>
      <c r="D160" s="96">
        <f>SUM(Rehab_58[Amount])</f>
        <v>0</v>
      </c>
      <c r="E160" s="34"/>
      <c r="F160" s="173" t="s">
        <v>33</v>
      </c>
      <c r="G160" s="174"/>
      <c r="H160" s="174"/>
    </row>
    <row r="161" spans="6:8" x14ac:dyDescent="0.3">
      <c r="F161" s="173"/>
      <c r="G161" s="174"/>
      <c r="H161" s="174"/>
    </row>
  </sheetData>
  <sheetProtection algorithmName="SHA-512" hashValue="pwvAHaeKhFhKq9sThIjJh7qiN3760zCSHG1oqpJLCwDVZs4AIypDSHFdjFYCPZ6y3wl0lqWQfZHWyo8/wJBsqg==" saltValue="uvNwZ6Oj80vv+XyLc309lw=="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N161"/>
  <sheetViews>
    <sheetView showGridLines="0" zoomScaleNormal="100" workbookViewId="0">
      <pane ySplit="9" topLeftCell="A121" activePane="bottomLeft" state="frozen"/>
      <selection pane="bottomLeft" activeCell="D126" sqref="D126"/>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5" t="s">
        <v>24</v>
      </c>
      <c r="B1" s="175"/>
      <c r="C1" s="175"/>
      <c r="D1" s="175"/>
      <c r="E1" s="1"/>
      <c r="F1" s="2"/>
      <c r="G1" s="2"/>
      <c r="H1" s="1"/>
    </row>
    <row r="2" spans="1:14" ht="24.9" customHeight="1" x14ac:dyDescent="0.3">
      <c r="A2" s="176" t="s">
        <v>71</v>
      </c>
      <c r="B2" s="176"/>
      <c r="C2" s="176"/>
      <c r="D2" s="176"/>
      <c r="E2" s="4"/>
      <c r="F2" s="90"/>
      <c r="G2" s="90"/>
      <c r="H2" s="5"/>
    </row>
    <row r="3" spans="1:14" ht="31.5" customHeight="1" x14ac:dyDescent="0.3">
      <c r="A3" s="176"/>
      <c r="B3" s="176"/>
      <c r="C3" s="176"/>
      <c r="D3" s="176"/>
      <c r="E3" s="4"/>
      <c r="F3" s="90"/>
      <c r="G3" s="90"/>
      <c r="H3" s="5"/>
    </row>
    <row r="4" spans="1:14" ht="15" customHeight="1" x14ac:dyDescent="0.25">
      <c r="A4" s="75" t="s">
        <v>19</v>
      </c>
      <c r="B4" s="194" t="str">
        <f>IF('Summary Sheet'!B37="","",'Summary Sheet'!B37)</f>
        <v>1274 W 71ST PL</v>
      </c>
      <c r="C4" s="194"/>
      <c r="D4" s="90"/>
      <c r="E4" s="4"/>
      <c r="F4" s="90"/>
      <c r="G4" s="90"/>
      <c r="H4" s="5"/>
    </row>
    <row r="5" spans="1:14" ht="15" customHeight="1" x14ac:dyDescent="0.25">
      <c r="A5" s="75" t="s">
        <v>20</v>
      </c>
      <c r="B5" s="195" t="str">
        <f>IF('Summary Sheet'!C37="","",'Summary Sheet'!C37)</f>
        <v/>
      </c>
      <c r="C5" s="195"/>
      <c r="D5" s="90"/>
      <c r="E5" s="4"/>
      <c r="F5" s="90"/>
      <c r="G5" s="90"/>
      <c r="H5" s="5"/>
    </row>
    <row r="6" spans="1:14" ht="15" customHeight="1" x14ac:dyDescent="0.25">
      <c r="A6" s="75" t="s">
        <v>36</v>
      </c>
      <c r="B6" s="177"/>
      <c r="C6" s="177"/>
      <c r="D6" s="6"/>
      <c r="E6" s="7"/>
    </row>
    <row r="7" spans="1:14" ht="15" customHeight="1" x14ac:dyDescent="0.25">
      <c r="A7" s="7"/>
      <c r="B7" s="196" t="s">
        <v>34</v>
      </c>
      <c r="C7" s="196"/>
      <c r="D7" s="10"/>
    </row>
    <row r="8" spans="1:14" ht="20.100000000000001" customHeight="1" x14ac:dyDescent="0.25">
      <c r="B8" s="11"/>
      <c r="C8" s="11"/>
      <c r="D8" s="12" t="s">
        <v>31</v>
      </c>
      <c r="F8" s="180" t="s">
        <v>32</v>
      </c>
      <c r="G8" s="181"/>
      <c r="H8" s="182"/>
    </row>
    <row r="9" spans="1:14" s="14" customFormat="1" ht="20.100000000000001" customHeight="1" x14ac:dyDescent="0.25">
      <c r="A9" s="197"/>
      <c r="B9" s="197"/>
      <c r="C9" s="197"/>
      <c r="D9" s="13">
        <f>SUM(D27,D46,D65,D84,D103,D122,D141,D160)</f>
        <v>19210</v>
      </c>
      <c r="F9" s="15" t="s">
        <v>28</v>
      </c>
      <c r="G9" s="15" t="s">
        <v>29</v>
      </c>
      <c r="H9" s="15" t="s">
        <v>30</v>
      </c>
      <c r="I9" s="16"/>
      <c r="J9" s="16"/>
      <c r="K9" s="16"/>
      <c r="L9" s="16"/>
      <c r="M9" s="16"/>
      <c r="N9" s="16"/>
    </row>
    <row r="10" spans="1:14" s="17" customFormat="1" ht="23.1" customHeight="1" x14ac:dyDescent="0.3">
      <c r="A10" s="198" t="s">
        <v>51</v>
      </c>
      <c r="B10" s="198"/>
      <c r="C10" s="198"/>
      <c r="D10" s="198"/>
      <c r="F10" s="183" t="s">
        <v>66</v>
      </c>
      <c r="G10" s="184"/>
      <c r="H10" s="185"/>
      <c r="I10" s="18"/>
      <c r="J10" s="18"/>
      <c r="K10" s="18"/>
      <c r="L10" s="18"/>
      <c r="M10" s="19"/>
      <c r="N10" s="20"/>
    </row>
    <row r="11" spans="1:14" s="24" customFormat="1" ht="12.75" customHeight="1" x14ac:dyDescent="0.25">
      <c r="A11" s="21" t="s">
        <v>21</v>
      </c>
      <c r="B11" s="22" t="s">
        <v>22</v>
      </c>
      <c r="C11" s="22" t="s">
        <v>23</v>
      </c>
      <c r="D11" s="23" t="s">
        <v>25</v>
      </c>
      <c r="F11" s="186"/>
      <c r="G11" s="187"/>
      <c r="H11" s="188"/>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78" t="s">
        <v>53</v>
      </c>
      <c r="B27" s="179"/>
      <c r="C27" s="179"/>
      <c r="D27" s="96">
        <f>SUM(Grass_5[Amount])</f>
        <v>0</v>
      </c>
      <c r="F27" s="173" t="s">
        <v>33</v>
      </c>
      <c r="G27" s="174"/>
      <c r="H27" s="174"/>
      <c r="I27" s="35"/>
      <c r="J27" s="35"/>
      <c r="K27" s="35"/>
      <c r="L27" s="35"/>
      <c r="M27" s="36"/>
      <c r="N27" s="37"/>
    </row>
    <row r="28" spans="1:14" s="40" customFormat="1" ht="11.1" customHeight="1" x14ac:dyDescent="0.3">
      <c r="A28" s="38"/>
      <c r="B28" s="38"/>
      <c r="C28" s="38"/>
      <c r="D28" s="39"/>
      <c r="F28" s="173"/>
      <c r="G28" s="174"/>
      <c r="H28" s="174"/>
      <c r="I28" s="35"/>
      <c r="J28" s="35"/>
      <c r="K28" s="35"/>
      <c r="L28" s="35"/>
      <c r="M28" s="36"/>
      <c r="N28" s="37"/>
    </row>
    <row r="29" spans="1:14" s="17" customFormat="1" ht="23.1" customHeight="1" x14ac:dyDescent="0.3">
      <c r="A29" s="191" t="s">
        <v>67</v>
      </c>
      <c r="B29" s="192"/>
      <c r="C29" s="192"/>
      <c r="D29" s="193"/>
      <c r="F29" s="183" t="s">
        <v>52</v>
      </c>
      <c r="G29" s="184"/>
      <c r="H29" s="185"/>
      <c r="I29" s="18"/>
      <c r="J29" s="18"/>
      <c r="K29" s="18"/>
      <c r="L29" s="18"/>
      <c r="M29" s="19"/>
      <c r="N29" s="20"/>
    </row>
    <row r="30" spans="1:14" s="41" customFormat="1" ht="12.75" customHeight="1" x14ac:dyDescent="0.25">
      <c r="A30" s="21" t="s">
        <v>21</v>
      </c>
      <c r="B30" s="22" t="s">
        <v>22</v>
      </c>
      <c r="C30" s="22" t="s">
        <v>23</v>
      </c>
      <c r="D30" s="23" t="s">
        <v>25</v>
      </c>
      <c r="F30" s="186"/>
      <c r="G30" s="187"/>
      <c r="H30" s="188"/>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89"/>
      <c r="J44" s="29"/>
      <c r="K44" s="29"/>
      <c r="L44" s="89"/>
      <c r="M44" s="30"/>
      <c r="N44" s="16"/>
    </row>
    <row r="45" spans="1:14" x14ac:dyDescent="0.3">
      <c r="A45" s="106"/>
      <c r="B45" s="107"/>
      <c r="C45" s="107"/>
      <c r="D45" s="114"/>
      <c r="F45" s="103"/>
      <c r="G45" s="104"/>
      <c r="H45" s="109"/>
      <c r="I45" s="89"/>
      <c r="J45" s="29"/>
      <c r="K45" s="29"/>
      <c r="L45" s="89"/>
      <c r="M45" s="30"/>
      <c r="N45" s="16"/>
    </row>
    <row r="46" spans="1:14" s="34" customFormat="1" x14ac:dyDescent="0.3">
      <c r="A46" s="178" t="s">
        <v>54</v>
      </c>
      <c r="B46" s="179"/>
      <c r="C46" s="179"/>
      <c r="D46" s="96">
        <f>SUM(Tree_5[Amount])</f>
        <v>0</v>
      </c>
      <c r="F46" s="173" t="s">
        <v>33</v>
      </c>
      <c r="G46" s="174"/>
      <c r="H46" s="174"/>
      <c r="I46" s="43"/>
      <c r="J46" s="43"/>
      <c r="K46" s="43"/>
      <c r="L46" s="43"/>
      <c r="M46" s="36"/>
      <c r="N46" s="37"/>
    </row>
    <row r="47" spans="1:14" s="40" customFormat="1" ht="11.1" customHeight="1" x14ac:dyDescent="0.3">
      <c r="A47" s="38"/>
      <c r="B47" s="38"/>
      <c r="C47" s="38"/>
      <c r="D47" s="39"/>
      <c r="F47" s="173"/>
      <c r="G47" s="174"/>
      <c r="H47" s="174"/>
      <c r="I47" s="43"/>
      <c r="J47" s="43"/>
      <c r="K47" s="43"/>
      <c r="L47" s="43"/>
      <c r="M47" s="36"/>
      <c r="N47" s="37"/>
    </row>
    <row r="48" spans="1:14" s="17" customFormat="1" ht="23.1" customHeight="1" x14ac:dyDescent="0.3">
      <c r="A48" s="191" t="s">
        <v>68</v>
      </c>
      <c r="B48" s="192"/>
      <c r="C48" s="192"/>
      <c r="D48" s="193"/>
      <c r="F48" s="183" t="s">
        <v>55</v>
      </c>
      <c r="G48" s="184"/>
      <c r="H48" s="185"/>
      <c r="I48" s="44"/>
      <c r="J48" s="44"/>
      <c r="K48" s="44"/>
      <c r="L48" s="44"/>
      <c r="M48" s="19"/>
      <c r="N48" s="20"/>
    </row>
    <row r="49" spans="1:14" s="41" customFormat="1" ht="12.75" customHeight="1" x14ac:dyDescent="0.25">
      <c r="A49" s="21" t="s">
        <v>21</v>
      </c>
      <c r="B49" s="22" t="s">
        <v>22</v>
      </c>
      <c r="C49" s="22" t="s">
        <v>23</v>
      </c>
      <c r="D49" s="23" t="s">
        <v>25</v>
      </c>
      <c r="F49" s="186"/>
      <c r="G49" s="187"/>
      <c r="H49" s="188"/>
      <c r="I49" s="89"/>
      <c r="J49" s="89"/>
      <c r="K49" s="89"/>
      <c r="L49" s="89"/>
      <c r="M49" s="30"/>
      <c r="N49" s="42"/>
    </row>
    <row r="50" spans="1:14" x14ac:dyDescent="0.3">
      <c r="A50" s="100"/>
      <c r="B50" s="101"/>
      <c r="C50" s="101"/>
      <c r="D50" s="112"/>
      <c r="F50" s="103"/>
      <c r="G50" s="104"/>
      <c r="H50" s="109"/>
      <c r="I50" s="89"/>
      <c r="J50" s="89"/>
      <c r="K50" s="89"/>
      <c r="L50" s="89"/>
      <c r="M50" s="30"/>
      <c r="N50" s="16"/>
    </row>
    <row r="51" spans="1:14" x14ac:dyDescent="0.3">
      <c r="A51" s="106"/>
      <c r="B51" s="107"/>
      <c r="C51" s="107"/>
      <c r="D51" s="113"/>
      <c r="F51" s="103"/>
      <c r="G51" s="104"/>
      <c r="H51" s="109"/>
      <c r="I51" s="89"/>
      <c r="J51" s="89"/>
      <c r="K51" s="89"/>
      <c r="L51" s="89"/>
      <c r="M51" s="30"/>
      <c r="N51" s="16"/>
    </row>
    <row r="52" spans="1:14" x14ac:dyDescent="0.3">
      <c r="A52" s="106"/>
      <c r="B52" s="107"/>
      <c r="C52" s="107"/>
      <c r="D52" s="114"/>
      <c r="F52" s="103"/>
      <c r="H52" s="109"/>
      <c r="I52" s="89"/>
      <c r="J52" s="89"/>
      <c r="K52" s="89"/>
      <c r="L52" s="89"/>
      <c r="M52" s="30"/>
      <c r="N52" s="16"/>
    </row>
    <row r="53" spans="1:14" x14ac:dyDescent="0.3">
      <c r="A53" s="106"/>
      <c r="B53" s="107"/>
      <c r="C53" s="107"/>
      <c r="D53" s="113"/>
      <c r="F53" s="103"/>
      <c r="G53" s="104"/>
      <c r="H53" s="109"/>
      <c r="I53" s="89"/>
      <c r="J53" s="89"/>
      <c r="K53" s="89"/>
      <c r="L53" s="89"/>
      <c r="M53" s="30"/>
      <c r="N53" s="16"/>
    </row>
    <row r="54" spans="1:14" x14ac:dyDescent="0.3">
      <c r="A54" s="106"/>
      <c r="B54" s="107"/>
      <c r="C54" s="107"/>
      <c r="D54" s="114"/>
      <c r="F54" s="103"/>
      <c r="G54" s="104"/>
      <c r="H54" s="109"/>
      <c r="I54" s="89"/>
      <c r="J54" s="89"/>
      <c r="K54" s="89"/>
      <c r="L54" s="89"/>
      <c r="M54" s="30"/>
      <c r="N54" s="16"/>
    </row>
    <row r="55" spans="1:14" x14ac:dyDescent="0.3">
      <c r="A55" s="106"/>
      <c r="B55" s="107"/>
      <c r="C55" s="107"/>
      <c r="D55" s="113"/>
      <c r="F55" s="103"/>
      <c r="G55" s="104"/>
      <c r="H55" s="109"/>
      <c r="I55" s="89"/>
      <c r="J55" s="89"/>
      <c r="K55" s="89"/>
      <c r="L55" s="89"/>
      <c r="M55" s="30"/>
      <c r="N55" s="16"/>
    </row>
    <row r="56" spans="1:14" x14ac:dyDescent="0.3">
      <c r="A56" s="106"/>
      <c r="B56" s="107"/>
      <c r="C56" s="107"/>
      <c r="D56" s="114"/>
      <c r="F56" s="103"/>
      <c r="G56" s="104"/>
      <c r="H56" s="109"/>
      <c r="I56" s="89"/>
      <c r="J56" s="89"/>
      <c r="K56" s="89"/>
      <c r="L56" s="89"/>
      <c r="M56" s="30"/>
      <c r="N56" s="16"/>
    </row>
    <row r="57" spans="1:14" x14ac:dyDescent="0.3">
      <c r="A57" s="106"/>
      <c r="B57" s="107"/>
      <c r="C57" s="107"/>
      <c r="D57" s="113"/>
      <c r="F57" s="103"/>
      <c r="G57" s="104"/>
      <c r="H57" s="109"/>
      <c r="I57" s="89"/>
      <c r="J57" s="89"/>
      <c r="K57" s="89"/>
      <c r="L57" s="89"/>
      <c r="M57" s="30"/>
      <c r="N57" s="16"/>
    </row>
    <row r="58" spans="1:14" x14ac:dyDescent="0.3">
      <c r="A58" s="106"/>
      <c r="B58" s="107"/>
      <c r="C58" s="107"/>
      <c r="D58" s="114"/>
      <c r="F58" s="103"/>
      <c r="G58" s="104"/>
      <c r="H58" s="109"/>
      <c r="I58" s="89"/>
      <c r="J58" s="89"/>
      <c r="K58" s="89"/>
      <c r="L58" s="89"/>
      <c r="M58" s="30"/>
      <c r="N58" s="16"/>
    </row>
    <row r="59" spans="1:14" x14ac:dyDescent="0.3">
      <c r="A59" s="106"/>
      <c r="B59" s="107"/>
      <c r="C59" s="107"/>
      <c r="D59" s="113"/>
      <c r="F59" s="103"/>
      <c r="G59" s="104"/>
      <c r="H59" s="109"/>
      <c r="I59" s="89"/>
      <c r="J59" s="190"/>
      <c r="K59" s="190"/>
      <c r="L59" s="89"/>
      <c r="M59" s="30"/>
      <c r="N59" s="16"/>
    </row>
    <row r="60" spans="1:14" x14ac:dyDescent="0.3">
      <c r="A60" s="106"/>
      <c r="B60" s="107"/>
      <c r="C60" s="107"/>
      <c r="D60" s="114"/>
      <c r="F60" s="103"/>
      <c r="G60" s="104"/>
      <c r="H60" s="109"/>
      <c r="I60" s="189"/>
      <c r="J60" s="189"/>
      <c r="K60" s="189"/>
      <c r="L60" s="189"/>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78" t="s">
        <v>56</v>
      </c>
      <c r="B65" s="179"/>
      <c r="C65" s="179"/>
      <c r="D65" s="96">
        <f>SUM(Pest_5[Amount])</f>
        <v>0</v>
      </c>
      <c r="F65" s="173" t="s">
        <v>33</v>
      </c>
      <c r="G65" s="174"/>
      <c r="H65" s="174"/>
    </row>
    <row r="66" spans="1:8" x14ac:dyDescent="0.3">
      <c r="F66" s="173"/>
      <c r="G66" s="174"/>
      <c r="H66" s="174"/>
    </row>
    <row r="67" spans="1:8" ht="17.399999999999999" x14ac:dyDescent="0.3">
      <c r="A67" s="198" t="s">
        <v>69</v>
      </c>
      <c r="B67" s="198"/>
      <c r="C67" s="198"/>
      <c r="D67" s="198"/>
      <c r="E67" s="17"/>
      <c r="F67" s="183" t="s">
        <v>57</v>
      </c>
      <c r="G67" s="184"/>
      <c r="H67" s="185"/>
    </row>
    <row r="68" spans="1:8" x14ac:dyDescent="0.3">
      <c r="A68" s="21" t="s">
        <v>21</v>
      </c>
      <c r="B68" s="22" t="s">
        <v>22</v>
      </c>
      <c r="C68" s="22" t="s">
        <v>23</v>
      </c>
      <c r="D68" s="23" t="s">
        <v>25</v>
      </c>
      <c r="E68" s="24"/>
      <c r="F68" s="186"/>
      <c r="G68" s="187"/>
      <c r="H68" s="188"/>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78" t="s">
        <v>58</v>
      </c>
      <c r="B84" s="179"/>
      <c r="C84" s="179"/>
      <c r="D84" s="96">
        <f>SUM(Garbage_5[Amount])</f>
        <v>0</v>
      </c>
      <c r="E84" s="34"/>
      <c r="F84" s="173" t="s">
        <v>33</v>
      </c>
      <c r="G84" s="174"/>
      <c r="H84" s="174"/>
    </row>
    <row r="85" spans="1:8" x14ac:dyDescent="0.3">
      <c r="A85" s="38"/>
      <c r="B85" s="38"/>
      <c r="C85" s="38"/>
      <c r="D85" s="39"/>
      <c r="E85" s="40"/>
      <c r="F85" s="173"/>
      <c r="G85" s="174"/>
      <c r="H85" s="174"/>
    </row>
    <row r="86" spans="1:8" ht="17.399999999999999" x14ac:dyDescent="0.3">
      <c r="A86" s="191" t="s">
        <v>59</v>
      </c>
      <c r="B86" s="192"/>
      <c r="C86" s="192"/>
      <c r="D86" s="193"/>
      <c r="E86" s="17"/>
      <c r="F86" s="183" t="s">
        <v>60</v>
      </c>
      <c r="G86" s="184"/>
      <c r="H86" s="185"/>
    </row>
    <row r="87" spans="1:8" x14ac:dyDescent="0.3">
      <c r="A87" s="21" t="s">
        <v>21</v>
      </c>
      <c r="B87" s="22" t="s">
        <v>22</v>
      </c>
      <c r="C87" s="22" t="s">
        <v>23</v>
      </c>
      <c r="D87" s="23" t="s">
        <v>25</v>
      </c>
      <c r="E87" s="41"/>
      <c r="F87" s="186"/>
      <c r="G87" s="187"/>
      <c r="H87" s="188"/>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78" t="s">
        <v>61</v>
      </c>
      <c r="B103" s="179"/>
      <c r="C103" s="179"/>
      <c r="D103" s="96">
        <f>SUM(Boarding_5[Amount])</f>
        <v>0</v>
      </c>
      <c r="E103" s="34"/>
      <c r="F103" s="173" t="s">
        <v>33</v>
      </c>
      <c r="G103" s="174"/>
      <c r="H103" s="174"/>
    </row>
    <row r="104" spans="1:8" x14ac:dyDescent="0.3">
      <c r="A104" s="38"/>
      <c r="B104" s="38"/>
      <c r="C104" s="38"/>
      <c r="D104" s="39"/>
      <c r="E104" s="40"/>
      <c r="F104" s="173"/>
      <c r="G104" s="174"/>
      <c r="H104" s="174"/>
    </row>
    <row r="105" spans="1:8" ht="17.399999999999999" x14ac:dyDescent="0.3">
      <c r="A105" s="191" t="s">
        <v>70</v>
      </c>
      <c r="B105" s="192"/>
      <c r="C105" s="192"/>
      <c r="D105" s="193"/>
      <c r="E105" s="17"/>
      <c r="F105" s="183" t="s">
        <v>62</v>
      </c>
      <c r="G105" s="184"/>
      <c r="H105" s="185"/>
    </row>
    <row r="106" spans="1:8" x14ac:dyDescent="0.3">
      <c r="A106" s="21" t="s">
        <v>21</v>
      </c>
      <c r="B106" s="22" t="s">
        <v>22</v>
      </c>
      <c r="C106" s="22" t="s">
        <v>23</v>
      </c>
      <c r="D106" s="23" t="s">
        <v>25</v>
      </c>
      <c r="E106" s="41"/>
      <c r="F106" s="186"/>
      <c r="G106" s="187"/>
      <c r="H106" s="188"/>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78" t="s">
        <v>63</v>
      </c>
      <c r="B122" s="179"/>
      <c r="C122" s="179"/>
      <c r="D122" s="96">
        <f>SUM(Fence_5[Amount])</f>
        <v>0</v>
      </c>
      <c r="E122" s="34"/>
      <c r="F122" s="173" t="s">
        <v>33</v>
      </c>
      <c r="G122" s="174"/>
      <c r="H122" s="174"/>
    </row>
    <row r="123" spans="1:8" x14ac:dyDescent="0.3">
      <c r="F123" s="173"/>
      <c r="G123" s="174"/>
      <c r="H123" s="174"/>
    </row>
    <row r="124" spans="1:8" ht="17.399999999999999" x14ac:dyDescent="0.3">
      <c r="A124" s="191" t="s">
        <v>26</v>
      </c>
      <c r="B124" s="192"/>
      <c r="C124" s="192"/>
      <c r="D124" s="193"/>
      <c r="E124" s="17"/>
      <c r="F124" s="183" t="s">
        <v>11</v>
      </c>
      <c r="G124" s="184"/>
      <c r="H124" s="185"/>
    </row>
    <row r="125" spans="1:8" x14ac:dyDescent="0.3">
      <c r="A125" s="21" t="s">
        <v>21</v>
      </c>
      <c r="B125" s="22" t="s">
        <v>22</v>
      </c>
      <c r="C125" s="22" t="s">
        <v>23</v>
      </c>
      <c r="D125" s="23" t="s">
        <v>25</v>
      </c>
      <c r="E125" s="41"/>
      <c r="F125" s="186"/>
      <c r="G125" s="187"/>
      <c r="H125" s="188"/>
    </row>
    <row r="126" spans="1:8" x14ac:dyDescent="0.3">
      <c r="A126" s="100"/>
      <c r="B126" s="101"/>
      <c r="C126" s="101"/>
      <c r="D126" s="144">
        <v>19210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78" t="s">
        <v>27</v>
      </c>
      <c r="B141" s="179"/>
      <c r="C141" s="179"/>
      <c r="D141" s="96">
        <f>SUM(Demolition_5[Amount])</f>
        <v>19210</v>
      </c>
      <c r="E141" s="34"/>
      <c r="F141" s="173" t="s">
        <v>33</v>
      </c>
      <c r="G141" s="174"/>
      <c r="H141" s="174"/>
    </row>
    <row r="142" spans="1:8" x14ac:dyDescent="0.3">
      <c r="A142" s="38"/>
      <c r="B142" s="38"/>
      <c r="C142" s="38"/>
      <c r="D142" s="39"/>
      <c r="E142" s="40"/>
      <c r="F142" s="173"/>
      <c r="G142" s="174"/>
      <c r="H142" s="174"/>
    </row>
    <row r="143" spans="1:8" ht="17.399999999999999" x14ac:dyDescent="0.3">
      <c r="A143" s="191" t="s">
        <v>64</v>
      </c>
      <c r="B143" s="192"/>
      <c r="C143" s="192"/>
      <c r="D143" s="193"/>
      <c r="E143" s="17"/>
      <c r="F143" s="183" t="s">
        <v>44</v>
      </c>
      <c r="G143" s="184"/>
      <c r="H143" s="185"/>
    </row>
    <row r="144" spans="1:8" x14ac:dyDescent="0.3">
      <c r="A144" s="21" t="s">
        <v>21</v>
      </c>
      <c r="B144" s="22" t="s">
        <v>22</v>
      </c>
      <c r="C144" s="22" t="s">
        <v>23</v>
      </c>
      <c r="D144" s="23" t="s">
        <v>25</v>
      </c>
      <c r="E144" s="41"/>
      <c r="F144" s="186"/>
      <c r="G144" s="187"/>
      <c r="H144" s="188"/>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78" t="s">
        <v>65</v>
      </c>
      <c r="B160" s="179"/>
      <c r="C160" s="179"/>
      <c r="D160" s="96">
        <f>SUM(Rehab_5[Amount])</f>
        <v>0</v>
      </c>
      <c r="E160" s="34"/>
      <c r="F160" s="173" t="s">
        <v>33</v>
      </c>
      <c r="G160" s="174"/>
      <c r="H160" s="174"/>
    </row>
    <row r="161" spans="6:8" x14ac:dyDescent="0.3">
      <c r="F161" s="173"/>
      <c r="G161" s="174"/>
      <c r="H161" s="174"/>
    </row>
  </sheetData>
  <sheetProtection algorithmName="SHA-512" hashValue="jwSTbhxnEBhOZ/cUUZSAFRUafgRtQdRz3CwL9RS4BjbLz/CfpiccYUrnoop5wZbfjl4cfaO/EsyVBFHEeMT8FA==" saltValue="CS7cX7uIIaJbRGL8mPkvPA==" spinCount="100000" sheet="1" insertRows="0" deleteRows="0"/>
  <protectedRanges>
    <protectedRange sqref="G160 F145:H159 G141 F126:H140 G122 F107:H121 G103 F88:H102 G84 F69:H83 G65 F50:H64 G46 F31:H45 G27 F12:H26" name="Comments"/>
    <protectedRange sqref="A145:D159" name="Rehab"/>
    <protectedRange sqref="A126:D140" name="Demolition"/>
    <protectedRange sqref="A107:D121" name="Fence"/>
    <protectedRange sqref="A88:D102" name="Boarding"/>
    <protectedRange sqref="A69:D83" name="Garbage"/>
    <protectedRange sqref="A50:D64" name="Pest"/>
    <protectedRange sqref="A31:D45" name="Tree"/>
    <protectedRange sqref="B6" name="Units"/>
    <protectedRange sqref="A12:D26" name="Gras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A1:N161"/>
  <sheetViews>
    <sheetView showGridLines="0" zoomScaleNormal="100" workbookViewId="0">
      <pane ySplit="9" topLeftCell="A115"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5" t="s">
        <v>24</v>
      </c>
      <c r="B1" s="175"/>
      <c r="C1" s="175"/>
      <c r="D1" s="175"/>
      <c r="E1" s="1"/>
      <c r="F1" s="2"/>
      <c r="G1" s="2"/>
      <c r="H1" s="1"/>
    </row>
    <row r="2" spans="1:14" ht="24.9" customHeight="1" x14ac:dyDescent="0.3">
      <c r="A2" s="176" t="s">
        <v>71</v>
      </c>
      <c r="B2" s="176"/>
      <c r="C2" s="176"/>
      <c r="D2" s="176"/>
      <c r="E2" s="4"/>
      <c r="F2" s="120"/>
      <c r="G2" s="120"/>
      <c r="H2" s="5"/>
    </row>
    <row r="3" spans="1:14" ht="31.5" customHeight="1" x14ac:dyDescent="0.3">
      <c r="A3" s="176"/>
      <c r="B3" s="176"/>
      <c r="C3" s="176"/>
      <c r="D3" s="176"/>
      <c r="E3" s="4"/>
      <c r="F3" s="120"/>
      <c r="G3" s="120"/>
      <c r="H3" s="5"/>
    </row>
    <row r="4" spans="1:14" ht="15" customHeight="1" x14ac:dyDescent="0.25">
      <c r="A4" s="75" t="s">
        <v>19</v>
      </c>
      <c r="B4" s="194" t="str">
        <f>IF('Summary Sheet'!B91="","",'Summary Sheet'!B91)</f>
        <v>236 W 113TH ST</v>
      </c>
      <c r="C4" s="194"/>
      <c r="D4" s="120"/>
      <c r="E4" s="4"/>
      <c r="F4" s="120"/>
      <c r="G4" s="120"/>
      <c r="H4" s="5"/>
    </row>
    <row r="5" spans="1:14" ht="15" customHeight="1" x14ac:dyDescent="0.25">
      <c r="A5" s="75" t="s">
        <v>20</v>
      </c>
      <c r="B5" s="195" t="str">
        <f>IF('Summary Sheet'!C91="","",'Summary Sheet'!C91)</f>
        <v/>
      </c>
      <c r="C5" s="195"/>
      <c r="D5" s="120"/>
      <c r="E5" s="4"/>
      <c r="F5" s="120"/>
      <c r="G5" s="120"/>
      <c r="H5" s="5"/>
    </row>
    <row r="6" spans="1:14" ht="15" customHeight="1" x14ac:dyDescent="0.25">
      <c r="A6" s="75" t="s">
        <v>36</v>
      </c>
      <c r="B6" s="177"/>
      <c r="C6" s="177"/>
      <c r="D6" s="6"/>
      <c r="E6" s="7"/>
    </row>
    <row r="7" spans="1:14" ht="15" customHeight="1" x14ac:dyDescent="0.25">
      <c r="A7" s="7"/>
      <c r="B7" s="196" t="s">
        <v>34</v>
      </c>
      <c r="C7" s="196"/>
      <c r="D7" s="10"/>
    </row>
    <row r="8" spans="1:14" ht="20.100000000000001" customHeight="1" x14ac:dyDescent="0.25">
      <c r="B8" s="11"/>
      <c r="C8" s="11"/>
      <c r="D8" s="12" t="s">
        <v>31</v>
      </c>
      <c r="F8" s="180" t="s">
        <v>32</v>
      </c>
      <c r="G8" s="181"/>
      <c r="H8" s="182"/>
    </row>
    <row r="9" spans="1:14" s="14" customFormat="1" ht="20.100000000000001" customHeight="1" x14ac:dyDescent="0.25">
      <c r="A9" s="197"/>
      <c r="B9" s="197"/>
      <c r="C9" s="197"/>
      <c r="D9" s="13">
        <f>SUM(D27,D46,D65,D84,D103,D122,D141,D160)</f>
        <v>15510</v>
      </c>
      <c r="F9" s="15" t="s">
        <v>28</v>
      </c>
      <c r="G9" s="15" t="s">
        <v>29</v>
      </c>
      <c r="H9" s="15" t="s">
        <v>30</v>
      </c>
      <c r="I9" s="16"/>
      <c r="J9" s="16"/>
      <c r="K9" s="16"/>
      <c r="L9" s="16"/>
      <c r="M9" s="16"/>
      <c r="N9" s="16"/>
    </row>
    <row r="10" spans="1:14" s="17" customFormat="1" ht="23.1" customHeight="1" x14ac:dyDescent="0.3">
      <c r="A10" s="198" t="s">
        <v>51</v>
      </c>
      <c r="B10" s="198"/>
      <c r="C10" s="198"/>
      <c r="D10" s="198"/>
      <c r="F10" s="183" t="s">
        <v>66</v>
      </c>
      <c r="G10" s="184"/>
      <c r="H10" s="185"/>
      <c r="I10" s="18"/>
      <c r="J10" s="18"/>
      <c r="K10" s="18"/>
      <c r="L10" s="18"/>
      <c r="M10" s="19"/>
      <c r="N10" s="20"/>
    </row>
    <row r="11" spans="1:14" s="24" customFormat="1" ht="12.75" customHeight="1" x14ac:dyDescent="0.25">
      <c r="A11" s="21" t="s">
        <v>21</v>
      </c>
      <c r="B11" s="22" t="s">
        <v>22</v>
      </c>
      <c r="C11" s="22" t="s">
        <v>23</v>
      </c>
      <c r="D11" s="23" t="s">
        <v>25</v>
      </c>
      <c r="F11" s="186"/>
      <c r="G11" s="187"/>
      <c r="H11" s="188"/>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78" t="s">
        <v>53</v>
      </c>
      <c r="B27" s="179"/>
      <c r="C27" s="179"/>
      <c r="D27" s="96">
        <f>SUM(Grass_59[Amount])</f>
        <v>0</v>
      </c>
      <c r="F27" s="173" t="s">
        <v>33</v>
      </c>
      <c r="G27" s="174"/>
      <c r="H27" s="174"/>
      <c r="I27" s="35"/>
      <c r="J27" s="35"/>
      <c r="K27" s="35"/>
      <c r="L27" s="35"/>
      <c r="M27" s="36"/>
      <c r="N27" s="37"/>
    </row>
    <row r="28" spans="1:14" s="40" customFormat="1" ht="11.1" customHeight="1" x14ac:dyDescent="0.3">
      <c r="A28" s="38"/>
      <c r="B28" s="38"/>
      <c r="C28" s="38"/>
      <c r="D28" s="39"/>
      <c r="F28" s="173"/>
      <c r="G28" s="174"/>
      <c r="H28" s="174"/>
      <c r="I28" s="35"/>
      <c r="J28" s="35"/>
      <c r="K28" s="35"/>
      <c r="L28" s="35"/>
      <c r="M28" s="36"/>
      <c r="N28" s="37"/>
    </row>
    <row r="29" spans="1:14" s="17" customFormat="1" ht="23.1" customHeight="1" x14ac:dyDescent="0.3">
      <c r="A29" s="191" t="s">
        <v>67</v>
      </c>
      <c r="B29" s="192"/>
      <c r="C29" s="192"/>
      <c r="D29" s="193"/>
      <c r="F29" s="183" t="s">
        <v>52</v>
      </c>
      <c r="G29" s="184"/>
      <c r="H29" s="185"/>
      <c r="I29" s="18"/>
      <c r="J29" s="18"/>
      <c r="K29" s="18"/>
      <c r="L29" s="18"/>
      <c r="M29" s="19"/>
      <c r="N29" s="20"/>
    </row>
    <row r="30" spans="1:14" s="41" customFormat="1" ht="12.75" customHeight="1" x14ac:dyDescent="0.25">
      <c r="A30" s="21" t="s">
        <v>21</v>
      </c>
      <c r="B30" s="22" t="s">
        <v>22</v>
      </c>
      <c r="C30" s="22" t="s">
        <v>23</v>
      </c>
      <c r="D30" s="23" t="s">
        <v>25</v>
      </c>
      <c r="F30" s="186"/>
      <c r="G30" s="187"/>
      <c r="H30" s="188"/>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19"/>
      <c r="J44" s="29"/>
      <c r="K44" s="29"/>
      <c r="L44" s="119"/>
      <c r="M44" s="30"/>
      <c r="N44" s="16"/>
    </row>
    <row r="45" spans="1:14" x14ac:dyDescent="0.3">
      <c r="A45" s="106"/>
      <c r="B45" s="107"/>
      <c r="C45" s="107"/>
      <c r="D45" s="114"/>
      <c r="F45" s="103"/>
      <c r="G45" s="104"/>
      <c r="H45" s="109"/>
      <c r="I45" s="119"/>
      <c r="J45" s="29"/>
      <c r="K45" s="29"/>
      <c r="L45" s="119"/>
      <c r="M45" s="30"/>
      <c r="N45" s="16"/>
    </row>
    <row r="46" spans="1:14" s="34" customFormat="1" x14ac:dyDescent="0.3">
      <c r="A46" s="178" t="s">
        <v>54</v>
      </c>
      <c r="B46" s="179"/>
      <c r="C46" s="179"/>
      <c r="D46" s="96">
        <f>SUM(Tree_59[Amount])</f>
        <v>0</v>
      </c>
      <c r="F46" s="173" t="s">
        <v>33</v>
      </c>
      <c r="G46" s="174"/>
      <c r="H46" s="174"/>
      <c r="I46" s="43"/>
      <c r="J46" s="43"/>
      <c r="K46" s="43"/>
      <c r="L46" s="43"/>
      <c r="M46" s="36"/>
      <c r="N46" s="37"/>
    </row>
    <row r="47" spans="1:14" s="40" customFormat="1" ht="11.1" customHeight="1" x14ac:dyDescent="0.3">
      <c r="A47" s="38"/>
      <c r="B47" s="38"/>
      <c r="C47" s="38"/>
      <c r="D47" s="39"/>
      <c r="F47" s="173"/>
      <c r="G47" s="174"/>
      <c r="H47" s="174"/>
      <c r="I47" s="43"/>
      <c r="J47" s="43"/>
      <c r="K47" s="43"/>
      <c r="L47" s="43"/>
      <c r="M47" s="36"/>
      <c r="N47" s="37"/>
    </row>
    <row r="48" spans="1:14" s="17" customFormat="1" ht="23.1" customHeight="1" x14ac:dyDescent="0.3">
      <c r="A48" s="191" t="s">
        <v>68</v>
      </c>
      <c r="B48" s="192"/>
      <c r="C48" s="192"/>
      <c r="D48" s="193"/>
      <c r="F48" s="183" t="s">
        <v>55</v>
      </c>
      <c r="G48" s="184"/>
      <c r="H48" s="185"/>
      <c r="I48" s="44"/>
      <c r="J48" s="44"/>
      <c r="K48" s="44"/>
      <c r="L48" s="44"/>
      <c r="M48" s="19"/>
      <c r="N48" s="20"/>
    </row>
    <row r="49" spans="1:14" s="41" customFormat="1" ht="12.75" customHeight="1" x14ac:dyDescent="0.25">
      <c r="A49" s="21" t="s">
        <v>21</v>
      </c>
      <c r="B49" s="22" t="s">
        <v>22</v>
      </c>
      <c r="C49" s="22" t="s">
        <v>23</v>
      </c>
      <c r="D49" s="23" t="s">
        <v>25</v>
      </c>
      <c r="F49" s="186"/>
      <c r="G49" s="187"/>
      <c r="H49" s="188"/>
      <c r="I49" s="119"/>
      <c r="J49" s="119"/>
      <c r="K49" s="119"/>
      <c r="L49" s="119"/>
      <c r="M49" s="30"/>
      <c r="N49" s="42"/>
    </row>
    <row r="50" spans="1:14" x14ac:dyDescent="0.3">
      <c r="A50" s="100"/>
      <c r="B50" s="101"/>
      <c r="C50" s="101"/>
      <c r="D50" s="112"/>
      <c r="F50" s="103"/>
      <c r="G50" s="104"/>
      <c r="H50" s="109"/>
      <c r="I50" s="119"/>
      <c r="J50" s="119"/>
      <c r="K50" s="119"/>
      <c r="L50" s="119"/>
      <c r="M50" s="30"/>
      <c r="N50" s="16"/>
    </row>
    <row r="51" spans="1:14" x14ac:dyDescent="0.3">
      <c r="A51" s="106"/>
      <c r="B51" s="107"/>
      <c r="C51" s="107"/>
      <c r="D51" s="113"/>
      <c r="F51" s="103"/>
      <c r="G51" s="104"/>
      <c r="H51" s="109"/>
      <c r="I51" s="119"/>
      <c r="J51" s="119"/>
      <c r="K51" s="119"/>
      <c r="L51" s="119"/>
      <c r="M51" s="30"/>
      <c r="N51" s="16"/>
    </row>
    <row r="52" spans="1:14" x14ac:dyDescent="0.3">
      <c r="A52" s="106"/>
      <c r="B52" s="107"/>
      <c r="C52" s="107"/>
      <c r="D52" s="114"/>
      <c r="F52" s="103"/>
      <c r="H52" s="109"/>
      <c r="I52" s="119"/>
      <c r="J52" s="119"/>
      <c r="K52" s="119"/>
      <c r="L52" s="119"/>
      <c r="M52" s="30"/>
      <c r="N52" s="16"/>
    </row>
    <row r="53" spans="1:14" x14ac:dyDescent="0.3">
      <c r="A53" s="106"/>
      <c r="B53" s="107"/>
      <c r="C53" s="107"/>
      <c r="D53" s="113"/>
      <c r="F53" s="103"/>
      <c r="G53" s="104"/>
      <c r="H53" s="109"/>
      <c r="I53" s="119"/>
      <c r="J53" s="119"/>
      <c r="K53" s="119"/>
      <c r="L53" s="119"/>
      <c r="M53" s="30"/>
      <c r="N53" s="16"/>
    </row>
    <row r="54" spans="1:14" x14ac:dyDescent="0.3">
      <c r="A54" s="106"/>
      <c r="B54" s="107"/>
      <c r="C54" s="107"/>
      <c r="D54" s="114"/>
      <c r="F54" s="103"/>
      <c r="G54" s="104"/>
      <c r="H54" s="109"/>
      <c r="I54" s="119"/>
      <c r="J54" s="119"/>
      <c r="K54" s="119"/>
      <c r="L54" s="119"/>
      <c r="M54" s="30"/>
      <c r="N54" s="16"/>
    </row>
    <row r="55" spans="1:14" x14ac:dyDescent="0.3">
      <c r="A55" s="106"/>
      <c r="B55" s="107"/>
      <c r="C55" s="107"/>
      <c r="D55" s="113"/>
      <c r="F55" s="103"/>
      <c r="G55" s="104"/>
      <c r="H55" s="109"/>
      <c r="I55" s="119"/>
      <c r="J55" s="119"/>
      <c r="K55" s="119"/>
      <c r="L55" s="119"/>
      <c r="M55" s="30"/>
      <c r="N55" s="16"/>
    </row>
    <row r="56" spans="1:14" x14ac:dyDescent="0.3">
      <c r="A56" s="106"/>
      <c r="B56" s="107"/>
      <c r="C56" s="107"/>
      <c r="D56" s="114"/>
      <c r="F56" s="103"/>
      <c r="G56" s="104"/>
      <c r="H56" s="109"/>
      <c r="I56" s="119"/>
      <c r="J56" s="119"/>
      <c r="K56" s="119"/>
      <c r="L56" s="119"/>
      <c r="M56" s="30"/>
      <c r="N56" s="16"/>
    </row>
    <row r="57" spans="1:14" x14ac:dyDescent="0.3">
      <c r="A57" s="106"/>
      <c r="B57" s="107"/>
      <c r="C57" s="107"/>
      <c r="D57" s="113"/>
      <c r="F57" s="103"/>
      <c r="G57" s="104"/>
      <c r="H57" s="109"/>
      <c r="I57" s="119"/>
      <c r="J57" s="119"/>
      <c r="K57" s="119"/>
      <c r="L57" s="119"/>
      <c r="M57" s="30"/>
      <c r="N57" s="16"/>
    </row>
    <row r="58" spans="1:14" x14ac:dyDescent="0.3">
      <c r="A58" s="106"/>
      <c r="B58" s="107"/>
      <c r="C58" s="107"/>
      <c r="D58" s="114"/>
      <c r="F58" s="103"/>
      <c r="G58" s="104"/>
      <c r="H58" s="109"/>
      <c r="I58" s="119"/>
      <c r="J58" s="119"/>
      <c r="K58" s="119"/>
      <c r="L58" s="119"/>
      <c r="M58" s="30"/>
      <c r="N58" s="16"/>
    </row>
    <row r="59" spans="1:14" x14ac:dyDescent="0.3">
      <c r="A59" s="106"/>
      <c r="B59" s="107"/>
      <c r="C59" s="107"/>
      <c r="D59" s="113"/>
      <c r="F59" s="103"/>
      <c r="G59" s="104"/>
      <c r="H59" s="109"/>
      <c r="I59" s="119"/>
      <c r="J59" s="190"/>
      <c r="K59" s="190"/>
      <c r="L59" s="119"/>
      <c r="M59" s="30"/>
      <c r="N59" s="16"/>
    </row>
    <row r="60" spans="1:14" x14ac:dyDescent="0.3">
      <c r="A60" s="106"/>
      <c r="B60" s="107"/>
      <c r="C60" s="107"/>
      <c r="D60" s="114"/>
      <c r="F60" s="103"/>
      <c r="G60" s="104"/>
      <c r="H60" s="109"/>
      <c r="I60" s="189"/>
      <c r="J60" s="189"/>
      <c r="K60" s="189"/>
      <c r="L60" s="189"/>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78" t="s">
        <v>56</v>
      </c>
      <c r="B65" s="179"/>
      <c r="C65" s="179"/>
      <c r="D65" s="96">
        <f>SUM(Pest_59[Amount])</f>
        <v>0</v>
      </c>
      <c r="F65" s="173" t="s">
        <v>33</v>
      </c>
      <c r="G65" s="174"/>
      <c r="H65" s="174"/>
    </row>
    <row r="66" spans="1:8" x14ac:dyDescent="0.3">
      <c r="F66" s="173"/>
      <c r="G66" s="174"/>
      <c r="H66" s="174"/>
    </row>
    <row r="67" spans="1:8" ht="17.399999999999999" x14ac:dyDescent="0.3">
      <c r="A67" s="198" t="s">
        <v>69</v>
      </c>
      <c r="B67" s="198"/>
      <c r="C67" s="198"/>
      <c r="D67" s="198"/>
      <c r="E67" s="17"/>
      <c r="F67" s="183" t="s">
        <v>57</v>
      </c>
      <c r="G67" s="184"/>
      <c r="H67" s="185"/>
    </row>
    <row r="68" spans="1:8" x14ac:dyDescent="0.3">
      <c r="A68" s="21" t="s">
        <v>21</v>
      </c>
      <c r="B68" s="22" t="s">
        <v>22</v>
      </c>
      <c r="C68" s="22" t="s">
        <v>23</v>
      </c>
      <c r="D68" s="23" t="s">
        <v>25</v>
      </c>
      <c r="E68" s="24"/>
      <c r="F68" s="186"/>
      <c r="G68" s="187"/>
      <c r="H68" s="188"/>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78" t="s">
        <v>58</v>
      </c>
      <c r="B84" s="179"/>
      <c r="C84" s="179"/>
      <c r="D84" s="96">
        <f>SUM(Garbage_59[Amount])</f>
        <v>0</v>
      </c>
      <c r="E84" s="34"/>
      <c r="F84" s="173" t="s">
        <v>33</v>
      </c>
      <c r="G84" s="174"/>
      <c r="H84" s="174"/>
    </row>
    <row r="85" spans="1:8" x14ac:dyDescent="0.3">
      <c r="A85" s="38"/>
      <c r="B85" s="38"/>
      <c r="C85" s="38"/>
      <c r="D85" s="39"/>
      <c r="E85" s="40"/>
      <c r="F85" s="173"/>
      <c r="G85" s="174"/>
      <c r="H85" s="174"/>
    </row>
    <row r="86" spans="1:8" ht="17.399999999999999" x14ac:dyDescent="0.3">
      <c r="A86" s="191" t="s">
        <v>59</v>
      </c>
      <c r="B86" s="192"/>
      <c r="C86" s="192"/>
      <c r="D86" s="193"/>
      <c r="E86" s="17"/>
      <c r="F86" s="183" t="s">
        <v>60</v>
      </c>
      <c r="G86" s="184"/>
      <c r="H86" s="185"/>
    </row>
    <row r="87" spans="1:8" x14ac:dyDescent="0.3">
      <c r="A87" s="21" t="s">
        <v>21</v>
      </c>
      <c r="B87" s="22" t="s">
        <v>22</v>
      </c>
      <c r="C87" s="22" t="s">
        <v>23</v>
      </c>
      <c r="D87" s="23" t="s">
        <v>25</v>
      </c>
      <c r="E87" s="41"/>
      <c r="F87" s="186"/>
      <c r="G87" s="187"/>
      <c r="H87" s="188"/>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78" t="s">
        <v>61</v>
      </c>
      <c r="B103" s="179"/>
      <c r="C103" s="179"/>
      <c r="D103" s="96">
        <f>SUM(Boarding_59[Amount])</f>
        <v>0</v>
      </c>
      <c r="E103" s="34"/>
      <c r="F103" s="173" t="s">
        <v>33</v>
      </c>
      <c r="G103" s="174"/>
      <c r="H103" s="174"/>
    </row>
    <row r="104" spans="1:8" x14ac:dyDescent="0.3">
      <c r="A104" s="38"/>
      <c r="B104" s="38"/>
      <c r="C104" s="38"/>
      <c r="D104" s="39"/>
      <c r="E104" s="40"/>
      <c r="F104" s="173"/>
      <c r="G104" s="174"/>
      <c r="H104" s="174"/>
    </row>
    <row r="105" spans="1:8" ht="17.399999999999999" x14ac:dyDescent="0.3">
      <c r="A105" s="191" t="s">
        <v>70</v>
      </c>
      <c r="B105" s="192"/>
      <c r="C105" s="192"/>
      <c r="D105" s="193"/>
      <c r="E105" s="17"/>
      <c r="F105" s="183" t="s">
        <v>62</v>
      </c>
      <c r="G105" s="184"/>
      <c r="H105" s="185"/>
    </row>
    <row r="106" spans="1:8" x14ac:dyDescent="0.3">
      <c r="A106" s="21" t="s">
        <v>21</v>
      </c>
      <c r="B106" s="22" t="s">
        <v>22</v>
      </c>
      <c r="C106" s="22" t="s">
        <v>23</v>
      </c>
      <c r="D106" s="23" t="s">
        <v>25</v>
      </c>
      <c r="E106" s="41"/>
      <c r="F106" s="186"/>
      <c r="G106" s="187"/>
      <c r="H106" s="188"/>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78" t="s">
        <v>63</v>
      </c>
      <c r="B122" s="179"/>
      <c r="C122" s="179"/>
      <c r="D122" s="96">
        <f>SUM(Fence_59[Amount])</f>
        <v>0</v>
      </c>
      <c r="E122" s="34"/>
      <c r="F122" s="173" t="s">
        <v>33</v>
      </c>
      <c r="G122" s="174"/>
      <c r="H122" s="174"/>
    </row>
    <row r="123" spans="1:8" x14ac:dyDescent="0.3">
      <c r="F123" s="173"/>
      <c r="G123" s="174"/>
      <c r="H123" s="174"/>
    </row>
    <row r="124" spans="1:8" ht="17.399999999999999" x14ac:dyDescent="0.3">
      <c r="A124" s="191" t="s">
        <v>26</v>
      </c>
      <c r="B124" s="192"/>
      <c r="C124" s="192"/>
      <c r="D124" s="193"/>
      <c r="E124" s="17"/>
      <c r="F124" s="183" t="s">
        <v>11</v>
      </c>
      <c r="G124" s="184"/>
      <c r="H124" s="185"/>
    </row>
    <row r="125" spans="1:8" x14ac:dyDescent="0.3">
      <c r="A125" s="21" t="s">
        <v>21</v>
      </c>
      <c r="B125" s="22" t="s">
        <v>22</v>
      </c>
      <c r="C125" s="22" t="s">
        <v>23</v>
      </c>
      <c r="D125" s="23" t="s">
        <v>25</v>
      </c>
      <c r="E125" s="41"/>
      <c r="F125" s="186"/>
      <c r="G125" s="187"/>
      <c r="H125" s="188"/>
    </row>
    <row r="126" spans="1:8" x14ac:dyDescent="0.3">
      <c r="A126" s="100"/>
      <c r="B126" s="101"/>
      <c r="C126" s="101"/>
      <c r="D126" s="112">
        <v>15510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78" t="s">
        <v>27</v>
      </c>
      <c r="B141" s="179"/>
      <c r="C141" s="179"/>
      <c r="D141" s="96">
        <f>SUM(Demolition_59[Amount])</f>
        <v>15510</v>
      </c>
      <c r="E141" s="34"/>
      <c r="F141" s="173" t="s">
        <v>33</v>
      </c>
      <c r="G141" s="174"/>
      <c r="H141" s="174"/>
    </row>
    <row r="142" spans="1:8" x14ac:dyDescent="0.3">
      <c r="A142" s="38"/>
      <c r="B142" s="38"/>
      <c r="C142" s="38"/>
      <c r="D142" s="39"/>
      <c r="E142" s="40"/>
      <c r="F142" s="173"/>
      <c r="G142" s="174"/>
      <c r="H142" s="174"/>
    </row>
    <row r="143" spans="1:8" ht="17.399999999999999" x14ac:dyDescent="0.3">
      <c r="A143" s="191" t="s">
        <v>64</v>
      </c>
      <c r="B143" s="192"/>
      <c r="C143" s="192"/>
      <c r="D143" s="193"/>
      <c r="E143" s="17"/>
      <c r="F143" s="183" t="s">
        <v>44</v>
      </c>
      <c r="G143" s="184"/>
      <c r="H143" s="185"/>
    </row>
    <row r="144" spans="1:8" x14ac:dyDescent="0.3">
      <c r="A144" s="21" t="s">
        <v>21</v>
      </c>
      <c r="B144" s="22" t="s">
        <v>22</v>
      </c>
      <c r="C144" s="22" t="s">
        <v>23</v>
      </c>
      <c r="D144" s="23" t="s">
        <v>25</v>
      </c>
      <c r="E144" s="41"/>
      <c r="F144" s="186"/>
      <c r="G144" s="187"/>
      <c r="H144" s="188"/>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78" t="s">
        <v>65</v>
      </c>
      <c r="B160" s="179"/>
      <c r="C160" s="179"/>
      <c r="D160" s="96">
        <f>SUM(Rehab_59[Amount])</f>
        <v>0</v>
      </c>
      <c r="E160" s="34"/>
      <c r="F160" s="173" t="s">
        <v>33</v>
      </c>
      <c r="G160" s="174"/>
      <c r="H160" s="174"/>
    </row>
    <row r="161" spans="6:8" x14ac:dyDescent="0.3">
      <c r="F161" s="173"/>
      <c r="G161" s="174"/>
      <c r="H161" s="174"/>
    </row>
  </sheetData>
  <sheetProtection algorithmName="SHA-512" hashValue="/5YJz3uoQ2gXVCK9ROBWyMCqJ/IIzM+Trw6xPpE2K5SWogWvJtlEWw5PnXxBygrmI9r3lhMIYntwf+vEebT1wA==" saltValue="VIsbjijd+9IMvWtDFfUYOA=="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N161"/>
  <sheetViews>
    <sheetView showGridLines="0" zoomScaleNormal="100" workbookViewId="0">
      <pane ySplit="9" topLeftCell="A110"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5" t="s">
        <v>24</v>
      </c>
      <c r="B1" s="175"/>
      <c r="C1" s="175"/>
      <c r="D1" s="175"/>
      <c r="E1" s="1"/>
      <c r="F1" s="2"/>
      <c r="G1" s="2"/>
      <c r="H1" s="1"/>
    </row>
    <row r="2" spans="1:14" ht="24.9" customHeight="1" x14ac:dyDescent="0.3">
      <c r="A2" s="176" t="s">
        <v>71</v>
      </c>
      <c r="B2" s="176"/>
      <c r="C2" s="176"/>
      <c r="D2" s="176"/>
      <c r="E2" s="4"/>
      <c r="F2" s="120"/>
      <c r="G2" s="120"/>
      <c r="H2" s="5"/>
    </row>
    <row r="3" spans="1:14" ht="31.5" customHeight="1" x14ac:dyDescent="0.3">
      <c r="A3" s="176"/>
      <c r="B3" s="176"/>
      <c r="C3" s="176"/>
      <c r="D3" s="176"/>
      <c r="E3" s="4"/>
      <c r="F3" s="120"/>
      <c r="G3" s="120"/>
      <c r="H3" s="5"/>
    </row>
    <row r="4" spans="1:14" ht="15" customHeight="1" x14ac:dyDescent="0.25">
      <c r="A4" s="75" t="s">
        <v>19</v>
      </c>
      <c r="B4" s="194" t="str">
        <f>IF('Summary Sheet'!B92="","",'Summary Sheet'!B92)</f>
        <v>2410 S SPAULDING AVE</v>
      </c>
      <c r="C4" s="194"/>
      <c r="D4" s="120"/>
      <c r="E4" s="4"/>
      <c r="F4" s="120"/>
      <c r="G4" s="120"/>
      <c r="H4" s="5"/>
    </row>
    <row r="5" spans="1:14" ht="15" customHeight="1" x14ac:dyDescent="0.25">
      <c r="A5" s="75" t="s">
        <v>20</v>
      </c>
      <c r="B5" s="195" t="str">
        <f>IF('Summary Sheet'!C92="","",'Summary Sheet'!C92)</f>
        <v/>
      </c>
      <c r="C5" s="195"/>
      <c r="D5" s="120"/>
      <c r="E5" s="4"/>
      <c r="F5" s="120"/>
      <c r="G5" s="120"/>
      <c r="H5" s="5"/>
    </row>
    <row r="6" spans="1:14" ht="15" customHeight="1" x14ac:dyDescent="0.25">
      <c r="A6" s="75" t="s">
        <v>36</v>
      </c>
      <c r="B6" s="177"/>
      <c r="C6" s="177"/>
      <c r="D6" s="6"/>
      <c r="E6" s="7"/>
    </row>
    <row r="7" spans="1:14" ht="15" customHeight="1" x14ac:dyDescent="0.25">
      <c r="A7" s="7"/>
      <c r="B7" s="196" t="s">
        <v>34</v>
      </c>
      <c r="C7" s="196"/>
      <c r="D7" s="10"/>
    </row>
    <row r="8" spans="1:14" ht="20.100000000000001" customHeight="1" x14ac:dyDescent="0.25">
      <c r="B8" s="11"/>
      <c r="C8" s="11"/>
      <c r="D8" s="12" t="s">
        <v>31</v>
      </c>
      <c r="F8" s="180" t="s">
        <v>32</v>
      </c>
      <c r="G8" s="181"/>
      <c r="H8" s="182"/>
    </row>
    <row r="9" spans="1:14" s="14" customFormat="1" ht="20.100000000000001" customHeight="1" x14ac:dyDescent="0.25">
      <c r="A9" s="197"/>
      <c r="B9" s="197"/>
      <c r="C9" s="197"/>
      <c r="D9" s="13">
        <f>SUM(D27,D46,D65,D84,D103,D122,D141,D160)</f>
        <v>46010</v>
      </c>
      <c r="F9" s="15" t="s">
        <v>28</v>
      </c>
      <c r="G9" s="15" t="s">
        <v>29</v>
      </c>
      <c r="H9" s="15" t="s">
        <v>30</v>
      </c>
      <c r="I9" s="16"/>
      <c r="J9" s="16"/>
      <c r="K9" s="16"/>
      <c r="L9" s="16"/>
      <c r="M9" s="16"/>
      <c r="N9" s="16"/>
    </row>
    <row r="10" spans="1:14" s="17" customFormat="1" ht="23.1" customHeight="1" x14ac:dyDescent="0.3">
      <c r="A10" s="198" t="s">
        <v>51</v>
      </c>
      <c r="B10" s="198"/>
      <c r="C10" s="198"/>
      <c r="D10" s="198"/>
      <c r="F10" s="183" t="s">
        <v>66</v>
      </c>
      <c r="G10" s="184"/>
      <c r="H10" s="185"/>
      <c r="I10" s="18"/>
      <c r="J10" s="18"/>
      <c r="K10" s="18"/>
      <c r="L10" s="18"/>
      <c r="M10" s="19"/>
      <c r="N10" s="20"/>
    </row>
    <row r="11" spans="1:14" s="24" customFormat="1" ht="12.75" customHeight="1" x14ac:dyDescent="0.25">
      <c r="A11" s="21" t="s">
        <v>21</v>
      </c>
      <c r="B11" s="22" t="s">
        <v>22</v>
      </c>
      <c r="C11" s="22" t="s">
        <v>23</v>
      </c>
      <c r="D11" s="23" t="s">
        <v>25</v>
      </c>
      <c r="F11" s="186"/>
      <c r="G11" s="187"/>
      <c r="H11" s="188"/>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78" t="s">
        <v>53</v>
      </c>
      <c r="B27" s="179"/>
      <c r="C27" s="179"/>
      <c r="D27" s="96">
        <f>SUM(Grass_60[Amount])</f>
        <v>0</v>
      </c>
      <c r="F27" s="173" t="s">
        <v>33</v>
      </c>
      <c r="G27" s="174"/>
      <c r="H27" s="174"/>
      <c r="I27" s="35"/>
      <c r="J27" s="35"/>
      <c r="K27" s="35"/>
      <c r="L27" s="35"/>
      <c r="M27" s="36"/>
      <c r="N27" s="37"/>
    </row>
    <row r="28" spans="1:14" s="40" customFormat="1" ht="11.1" customHeight="1" x14ac:dyDescent="0.3">
      <c r="A28" s="38"/>
      <c r="B28" s="38"/>
      <c r="C28" s="38"/>
      <c r="D28" s="39"/>
      <c r="F28" s="173"/>
      <c r="G28" s="174"/>
      <c r="H28" s="174"/>
      <c r="I28" s="35"/>
      <c r="J28" s="35"/>
      <c r="K28" s="35"/>
      <c r="L28" s="35"/>
      <c r="M28" s="36"/>
      <c r="N28" s="37"/>
    </row>
    <row r="29" spans="1:14" s="17" customFormat="1" ht="23.1" customHeight="1" x14ac:dyDescent="0.3">
      <c r="A29" s="191" t="s">
        <v>67</v>
      </c>
      <c r="B29" s="192"/>
      <c r="C29" s="192"/>
      <c r="D29" s="193"/>
      <c r="F29" s="183" t="s">
        <v>52</v>
      </c>
      <c r="G29" s="184"/>
      <c r="H29" s="185"/>
      <c r="I29" s="18"/>
      <c r="J29" s="18"/>
      <c r="K29" s="18"/>
      <c r="L29" s="18"/>
      <c r="M29" s="19"/>
      <c r="N29" s="20"/>
    </row>
    <row r="30" spans="1:14" s="41" customFormat="1" ht="12.75" customHeight="1" x14ac:dyDescent="0.25">
      <c r="A30" s="21" t="s">
        <v>21</v>
      </c>
      <c r="B30" s="22" t="s">
        <v>22</v>
      </c>
      <c r="C30" s="22" t="s">
        <v>23</v>
      </c>
      <c r="D30" s="23" t="s">
        <v>25</v>
      </c>
      <c r="F30" s="186"/>
      <c r="G30" s="187"/>
      <c r="H30" s="188"/>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19"/>
      <c r="J44" s="29"/>
      <c r="K44" s="29"/>
      <c r="L44" s="119"/>
      <c r="M44" s="30"/>
      <c r="N44" s="16"/>
    </row>
    <row r="45" spans="1:14" x14ac:dyDescent="0.3">
      <c r="A45" s="106"/>
      <c r="B45" s="107"/>
      <c r="C45" s="107"/>
      <c r="D45" s="114"/>
      <c r="F45" s="103"/>
      <c r="G45" s="104"/>
      <c r="H45" s="109"/>
      <c r="I45" s="119"/>
      <c r="J45" s="29"/>
      <c r="K45" s="29"/>
      <c r="L45" s="119"/>
      <c r="M45" s="30"/>
      <c r="N45" s="16"/>
    </row>
    <row r="46" spans="1:14" s="34" customFormat="1" x14ac:dyDescent="0.3">
      <c r="A46" s="178" t="s">
        <v>54</v>
      </c>
      <c r="B46" s="179"/>
      <c r="C46" s="179"/>
      <c r="D46" s="96">
        <f>SUM(Tree_60[Amount])</f>
        <v>0</v>
      </c>
      <c r="F46" s="173" t="s">
        <v>33</v>
      </c>
      <c r="G46" s="174"/>
      <c r="H46" s="174"/>
      <c r="I46" s="43"/>
      <c r="J46" s="43"/>
      <c r="K46" s="43"/>
      <c r="L46" s="43"/>
      <c r="M46" s="36"/>
      <c r="N46" s="37"/>
    </row>
    <row r="47" spans="1:14" s="40" customFormat="1" ht="11.1" customHeight="1" x14ac:dyDescent="0.3">
      <c r="A47" s="38"/>
      <c r="B47" s="38"/>
      <c r="C47" s="38"/>
      <c r="D47" s="39"/>
      <c r="F47" s="173"/>
      <c r="G47" s="174"/>
      <c r="H47" s="174"/>
      <c r="I47" s="43"/>
      <c r="J47" s="43"/>
      <c r="K47" s="43"/>
      <c r="L47" s="43"/>
      <c r="M47" s="36"/>
      <c r="N47" s="37"/>
    </row>
    <row r="48" spans="1:14" s="17" customFormat="1" ht="23.1" customHeight="1" x14ac:dyDescent="0.3">
      <c r="A48" s="191" t="s">
        <v>68</v>
      </c>
      <c r="B48" s="192"/>
      <c r="C48" s="192"/>
      <c r="D48" s="193"/>
      <c r="F48" s="183" t="s">
        <v>55</v>
      </c>
      <c r="G48" s="184"/>
      <c r="H48" s="185"/>
      <c r="I48" s="44"/>
      <c r="J48" s="44"/>
      <c r="K48" s="44"/>
      <c r="L48" s="44"/>
      <c r="M48" s="19"/>
      <c r="N48" s="20"/>
    </row>
    <row r="49" spans="1:14" s="41" customFormat="1" ht="12.75" customHeight="1" x14ac:dyDescent="0.25">
      <c r="A49" s="21" t="s">
        <v>21</v>
      </c>
      <c r="B49" s="22" t="s">
        <v>22</v>
      </c>
      <c r="C49" s="22" t="s">
        <v>23</v>
      </c>
      <c r="D49" s="23" t="s">
        <v>25</v>
      </c>
      <c r="F49" s="186"/>
      <c r="G49" s="187"/>
      <c r="H49" s="188"/>
      <c r="I49" s="119"/>
      <c r="J49" s="119"/>
      <c r="K49" s="119"/>
      <c r="L49" s="119"/>
      <c r="M49" s="30"/>
      <c r="N49" s="42"/>
    </row>
    <row r="50" spans="1:14" x14ac:dyDescent="0.3">
      <c r="A50" s="100"/>
      <c r="B50" s="101"/>
      <c r="C50" s="101"/>
      <c r="D50" s="112"/>
      <c r="F50" s="103"/>
      <c r="G50" s="104"/>
      <c r="H50" s="109"/>
      <c r="I50" s="119"/>
      <c r="J50" s="119"/>
      <c r="K50" s="119"/>
      <c r="L50" s="119"/>
      <c r="M50" s="30"/>
      <c r="N50" s="16"/>
    </row>
    <row r="51" spans="1:14" x14ac:dyDescent="0.3">
      <c r="A51" s="106"/>
      <c r="B51" s="107"/>
      <c r="C51" s="107"/>
      <c r="D51" s="113"/>
      <c r="F51" s="103"/>
      <c r="G51" s="104"/>
      <c r="H51" s="109"/>
      <c r="I51" s="119"/>
      <c r="J51" s="119"/>
      <c r="K51" s="119"/>
      <c r="L51" s="119"/>
      <c r="M51" s="30"/>
      <c r="N51" s="16"/>
    </row>
    <row r="52" spans="1:14" x14ac:dyDescent="0.3">
      <c r="A52" s="106"/>
      <c r="B52" s="107"/>
      <c r="C52" s="107"/>
      <c r="D52" s="114"/>
      <c r="F52" s="103"/>
      <c r="H52" s="109"/>
      <c r="I52" s="119"/>
      <c r="J52" s="119"/>
      <c r="K52" s="119"/>
      <c r="L52" s="119"/>
      <c r="M52" s="30"/>
      <c r="N52" s="16"/>
    </row>
    <row r="53" spans="1:14" x14ac:dyDescent="0.3">
      <c r="A53" s="106"/>
      <c r="B53" s="107"/>
      <c r="C53" s="107"/>
      <c r="D53" s="113"/>
      <c r="F53" s="103"/>
      <c r="G53" s="104"/>
      <c r="H53" s="109"/>
      <c r="I53" s="119"/>
      <c r="J53" s="119"/>
      <c r="K53" s="119"/>
      <c r="L53" s="119"/>
      <c r="M53" s="30"/>
      <c r="N53" s="16"/>
    </row>
    <row r="54" spans="1:14" x14ac:dyDescent="0.3">
      <c r="A54" s="106"/>
      <c r="B54" s="107"/>
      <c r="C54" s="107"/>
      <c r="D54" s="114"/>
      <c r="F54" s="103"/>
      <c r="G54" s="104"/>
      <c r="H54" s="109"/>
      <c r="I54" s="119"/>
      <c r="J54" s="119"/>
      <c r="K54" s="119"/>
      <c r="L54" s="119"/>
      <c r="M54" s="30"/>
      <c r="N54" s="16"/>
    </row>
    <row r="55" spans="1:14" x14ac:dyDescent="0.3">
      <c r="A55" s="106"/>
      <c r="B55" s="107"/>
      <c r="C55" s="107"/>
      <c r="D55" s="113"/>
      <c r="F55" s="103"/>
      <c r="G55" s="104"/>
      <c r="H55" s="109"/>
      <c r="I55" s="119"/>
      <c r="J55" s="119"/>
      <c r="K55" s="119"/>
      <c r="L55" s="119"/>
      <c r="M55" s="30"/>
      <c r="N55" s="16"/>
    </row>
    <row r="56" spans="1:14" x14ac:dyDescent="0.3">
      <c r="A56" s="106"/>
      <c r="B56" s="107"/>
      <c r="C56" s="107"/>
      <c r="D56" s="114"/>
      <c r="F56" s="103"/>
      <c r="G56" s="104"/>
      <c r="H56" s="109"/>
      <c r="I56" s="119"/>
      <c r="J56" s="119"/>
      <c r="K56" s="119"/>
      <c r="L56" s="119"/>
      <c r="M56" s="30"/>
      <c r="N56" s="16"/>
    </row>
    <row r="57" spans="1:14" x14ac:dyDescent="0.3">
      <c r="A57" s="106"/>
      <c r="B57" s="107"/>
      <c r="C57" s="107"/>
      <c r="D57" s="113"/>
      <c r="F57" s="103"/>
      <c r="G57" s="104"/>
      <c r="H57" s="109"/>
      <c r="I57" s="119"/>
      <c r="J57" s="119"/>
      <c r="K57" s="119"/>
      <c r="L57" s="119"/>
      <c r="M57" s="30"/>
      <c r="N57" s="16"/>
    </row>
    <row r="58" spans="1:14" x14ac:dyDescent="0.3">
      <c r="A58" s="106"/>
      <c r="B58" s="107"/>
      <c r="C58" s="107"/>
      <c r="D58" s="114"/>
      <c r="F58" s="103"/>
      <c r="G58" s="104"/>
      <c r="H58" s="109"/>
      <c r="I58" s="119"/>
      <c r="J58" s="119"/>
      <c r="K58" s="119"/>
      <c r="L58" s="119"/>
      <c r="M58" s="30"/>
      <c r="N58" s="16"/>
    </row>
    <row r="59" spans="1:14" x14ac:dyDescent="0.3">
      <c r="A59" s="106"/>
      <c r="B59" s="107"/>
      <c r="C59" s="107"/>
      <c r="D59" s="113"/>
      <c r="F59" s="103"/>
      <c r="G59" s="104"/>
      <c r="H59" s="109"/>
      <c r="I59" s="119"/>
      <c r="J59" s="190"/>
      <c r="K59" s="190"/>
      <c r="L59" s="119"/>
      <c r="M59" s="30"/>
      <c r="N59" s="16"/>
    </row>
    <row r="60" spans="1:14" x14ac:dyDescent="0.3">
      <c r="A60" s="106"/>
      <c r="B60" s="107"/>
      <c r="C60" s="107"/>
      <c r="D60" s="114"/>
      <c r="F60" s="103"/>
      <c r="G60" s="104"/>
      <c r="H60" s="109"/>
      <c r="I60" s="189"/>
      <c r="J60" s="189"/>
      <c r="K60" s="189"/>
      <c r="L60" s="189"/>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78" t="s">
        <v>56</v>
      </c>
      <c r="B65" s="179"/>
      <c r="C65" s="179"/>
      <c r="D65" s="96">
        <f>SUM(Pest_60[Amount])</f>
        <v>0</v>
      </c>
      <c r="F65" s="173" t="s">
        <v>33</v>
      </c>
      <c r="G65" s="174"/>
      <c r="H65" s="174"/>
    </row>
    <row r="66" spans="1:8" x14ac:dyDescent="0.3">
      <c r="F66" s="173"/>
      <c r="G66" s="174"/>
      <c r="H66" s="174"/>
    </row>
    <row r="67" spans="1:8" ht="17.399999999999999" x14ac:dyDescent="0.3">
      <c r="A67" s="198" t="s">
        <v>69</v>
      </c>
      <c r="B67" s="198"/>
      <c r="C67" s="198"/>
      <c r="D67" s="198"/>
      <c r="E67" s="17"/>
      <c r="F67" s="183" t="s">
        <v>57</v>
      </c>
      <c r="G67" s="184"/>
      <c r="H67" s="185"/>
    </row>
    <row r="68" spans="1:8" x14ac:dyDescent="0.3">
      <c r="A68" s="21" t="s">
        <v>21</v>
      </c>
      <c r="B68" s="22" t="s">
        <v>22</v>
      </c>
      <c r="C68" s="22" t="s">
        <v>23</v>
      </c>
      <c r="D68" s="23" t="s">
        <v>25</v>
      </c>
      <c r="E68" s="24"/>
      <c r="F68" s="186"/>
      <c r="G68" s="187"/>
      <c r="H68" s="188"/>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78" t="s">
        <v>58</v>
      </c>
      <c r="B84" s="179"/>
      <c r="C84" s="179"/>
      <c r="D84" s="96">
        <f>SUM(Garbage_60[Amount])</f>
        <v>0</v>
      </c>
      <c r="E84" s="34"/>
      <c r="F84" s="173" t="s">
        <v>33</v>
      </c>
      <c r="G84" s="174"/>
      <c r="H84" s="174"/>
    </row>
    <row r="85" spans="1:8" x14ac:dyDescent="0.3">
      <c r="A85" s="38"/>
      <c r="B85" s="38"/>
      <c r="C85" s="38"/>
      <c r="D85" s="39"/>
      <c r="E85" s="40"/>
      <c r="F85" s="173"/>
      <c r="G85" s="174"/>
      <c r="H85" s="174"/>
    </row>
    <row r="86" spans="1:8" ht="17.399999999999999" x14ac:dyDescent="0.3">
      <c r="A86" s="191" t="s">
        <v>59</v>
      </c>
      <c r="B86" s="192"/>
      <c r="C86" s="192"/>
      <c r="D86" s="193"/>
      <c r="E86" s="17"/>
      <c r="F86" s="183" t="s">
        <v>60</v>
      </c>
      <c r="G86" s="184"/>
      <c r="H86" s="185"/>
    </row>
    <row r="87" spans="1:8" x14ac:dyDescent="0.3">
      <c r="A87" s="21" t="s">
        <v>21</v>
      </c>
      <c r="B87" s="22" t="s">
        <v>22</v>
      </c>
      <c r="C87" s="22" t="s">
        <v>23</v>
      </c>
      <c r="D87" s="23" t="s">
        <v>25</v>
      </c>
      <c r="E87" s="41"/>
      <c r="F87" s="186"/>
      <c r="G87" s="187"/>
      <c r="H87" s="188"/>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78" t="s">
        <v>61</v>
      </c>
      <c r="B103" s="179"/>
      <c r="C103" s="179"/>
      <c r="D103" s="96">
        <f>SUM(Boarding_60[Amount])</f>
        <v>0</v>
      </c>
      <c r="E103" s="34"/>
      <c r="F103" s="173" t="s">
        <v>33</v>
      </c>
      <c r="G103" s="174"/>
      <c r="H103" s="174"/>
    </row>
    <row r="104" spans="1:8" x14ac:dyDescent="0.3">
      <c r="A104" s="38"/>
      <c r="B104" s="38"/>
      <c r="C104" s="38"/>
      <c r="D104" s="39"/>
      <c r="E104" s="40"/>
      <c r="F104" s="173"/>
      <c r="G104" s="174"/>
      <c r="H104" s="174"/>
    </row>
    <row r="105" spans="1:8" ht="17.399999999999999" x14ac:dyDescent="0.3">
      <c r="A105" s="191" t="s">
        <v>70</v>
      </c>
      <c r="B105" s="192"/>
      <c r="C105" s="192"/>
      <c r="D105" s="193"/>
      <c r="E105" s="17"/>
      <c r="F105" s="183" t="s">
        <v>62</v>
      </c>
      <c r="G105" s="184"/>
      <c r="H105" s="185"/>
    </row>
    <row r="106" spans="1:8" x14ac:dyDescent="0.3">
      <c r="A106" s="21" t="s">
        <v>21</v>
      </c>
      <c r="B106" s="22" t="s">
        <v>22</v>
      </c>
      <c r="C106" s="22" t="s">
        <v>23</v>
      </c>
      <c r="D106" s="23" t="s">
        <v>25</v>
      </c>
      <c r="E106" s="41"/>
      <c r="F106" s="186"/>
      <c r="G106" s="187"/>
      <c r="H106" s="188"/>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78" t="s">
        <v>63</v>
      </c>
      <c r="B122" s="179"/>
      <c r="C122" s="179"/>
      <c r="D122" s="96">
        <f>SUM(Fence_60[Amount])</f>
        <v>0</v>
      </c>
      <c r="E122" s="34"/>
      <c r="F122" s="173" t="s">
        <v>33</v>
      </c>
      <c r="G122" s="174"/>
      <c r="H122" s="174"/>
    </row>
    <row r="123" spans="1:8" x14ac:dyDescent="0.3">
      <c r="F123" s="173"/>
      <c r="G123" s="174"/>
      <c r="H123" s="174"/>
    </row>
    <row r="124" spans="1:8" ht="17.399999999999999" x14ac:dyDescent="0.3">
      <c r="A124" s="191" t="s">
        <v>26</v>
      </c>
      <c r="B124" s="192"/>
      <c r="C124" s="192"/>
      <c r="D124" s="193"/>
      <c r="E124" s="17"/>
      <c r="F124" s="183" t="s">
        <v>11</v>
      </c>
      <c r="G124" s="184"/>
      <c r="H124" s="185"/>
    </row>
    <row r="125" spans="1:8" x14ac:dyDescent="0.3">
      <c r="A125" s="21" t="s">
        <v>21</v>
      </c>
      <c r="B125" s="22" t="s">
        <v>22</v>
      </c>
      <c r="C125" s="22" t="s">
        <v>23</v>
      </c>
      <c r="D125" s="23" t="s">
        <v>25</v>
      </c>
      <c r="E125" s="41"/>
      <c r="F125" s="186"/>
      <c r="G125" s="187"/>
      <c r="H125" s="188"/>
    </row>
    <row r="126" spans="1:8" x14ac:dyDescent="0.3">
      <c r="A126" s="100"/>
      <c r="B126" s="101"/>
      <c r="C126" s="101"/>
      <c r="D126" s="112">
        <v>46010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78" t="s">
        <v>27</v>
      </c>
      <c r="B141" s="179"/>
      <c r="C141" s="179"/>
      <c r="D141" s="96">
        <f>SUM(Demolition_60[Amount])</f>
        <v>46010</v>
      </c>
      <c r="E141" s="34"/>
      <c r="F141" s="173" t="s">
        <v>33</v>
      </c>
      <c r="G141" s="174"/>
      <c r="H141" s="174"/>
    </row>
    <row r="142" spans="1:8" x14ac:dyDescent="0.3">
      <c r="A142" s="38"/>
      <c r="B142" s="38"/>
      <c r="C142" s="38"/>
      <c r="D142" s="39"/>
      <c r="E142" s="40"/>
      <c r="F142" s="173"/>
      <c r="G142" s="174"/>
      <c r="H142" s="174"/>
    </row>
    <row r="143" spans="1:8" ht="17.399999999999999" x14ac:dyDescent="0.3">
      <c r="A143" s="191" t="s">
        <v>64</v>
      </c>
      <c r="B143" s="192"/>
      <c r="C143" s="192"/>
      <c r="D143" s="193"/>
      <c r="E143" s="17"/>
      <c r="F143" s="183" t="s">
        <v>44</v>
      </c>
      <c r="G143" s="184"/>
      <c r="H143" s="185"/>
    </row>
    <row r="144" spans="1:8" x14ac:dyDescent="0.3">
      <c r="A144" s="21" t="s">
        <v>21</v>
      </c>
      <c r="B144" s="22" t="s">
        <v>22</v>
      </c>
      <c r="C144" s="22" t="s">
        <v>23</v>
      </c>
      <c r="D144" s="23" t="s">
        <v>25</v>
      </c>
      <c r="E144" s="41"/>
      <c r="F144" s="186"/>
      <c r="G144" s="187"/>
      <c r="H144" s="188"/>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78" t="s">
        <v>65</v>
      </c>
      <c r="B160" s="179"/>
      <c r="C160" s="179"/>
      <c r="D160" s="96">
        <f>SUM(Rehab_60[Amount])</f>
        <v>0</v>
      </c>
      <c r="E160" s="34"/>
      <c r="F160" s="173" t="s">
        <v>33</v>
      </c>
      <c r="G160" s="174"/>
      <c r="H160" s="174"/>
    </row>
    <row r="161" spans="6:8" x14ac:dyDescent="0.3">
      <c r="F161" s="173"/>
      <c r="G161" s="174"/>
      <c r="H161" s="174"/>
    </row>
  </sheetData>
  <sheetProtection algorithmName="SHA-512" hashValue="uZDh/QD5lN1MDz3lhoaXOw3QSZlmG0zGqKa3WLf6ekAGtyNMmRwcJWvK7ldrE7ucUNm8106ElUjjseuzIfGTmQ==" saltValue="5Zie0GI8N2ymw+GhVzHy2w=="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pageSetUpPr fitToPage="1"/>
  </sheetPr>
  <dimension ref="A1:N161"/>
  <sheetViews>
    <sheetView showGridLines="0" zoomScaleNormal="100" workbookViewId="0">
      <pane ySplit="9" topLeftCell="A124"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5" t="s">
        <v>24</v>
      </c>
      <c r="B1" s="175"/>
      <c r="C1" s="175"/>
      <c r="D1" s="175"/>
      <c r="E1" s="1"/>
      <c r="F1" s="2"/>
      <c r="G1" s="2"/>
      <c r="H1" s="1"/>
    </row>
    <row r="2" spans="1:14" ht="24.9" customHeight="1" x14ac:dyDescent="0.3">
      <c r="A2" s="176" t="s">
        <v>71</v>
      </c>
      <c r="B2" s="176"/>
      <c r="C2" s="176"/>
      <c r="D2" s="176"/>
      <c r="E2" s="4"/>
      <c r="F2" s="120"/>
      <c r="G2" s="120"/>
      <c r="H2" s="5"/>
    </row>
    <row r="3" spans="1:14" ht="31.5" customHeight="1" x14ac:dyDescent="0.3">
      <c r="A3" s="176"/>
      <c r="B3" s="176"/>
      <c r="C3" s="176"/>
      <c r="D3" s="176"/>
      <c r="E3" s="4"/>
      <c r="F3" s="120"/>
      <c r="G3" s="120"/>
      <c r="H3" s="5"/>
    </row>
    <row r="4" spans="1:14" ht="15" customHeight="1" x14ac:dyDescent="0.25">
      <c r="A4" s="75" t="s">
        <v>19</v>
      </c>
      <c r="B4" s="194" t="str">
        <f>IF('Summary Sheet'!B93="","",'Summary Sheet'!B93)</f>
        <v>2413 S SPAULDING AVE</v>
      </c>
      <c r="C4" s="194"/>
      <c r="D4" s="120"/>
      <c r="E4" s="4"/>
      <c r="F4" s="120"/>
      <c r="G4" s="120"/>
      <c r="H4" s="5"/>
    </row>
    <row r="5" spans="1:14" ht="15" customHeight="1" x14ac:dyDescent="0.25">
      <c r="A5" s="75" t="s">
        <v>20</v>
      </c>
      <c r="B5" s="195" t="str">
        <f>IF('Summary Sheet'!C93="","",'Summary Sheet'!C93)</f>
        <v/>
      </c>
      <c r="C5" s="195"/>
      <c r="D5" s="120"/>
      <c r="E5" s="4"/>
      <c r="F5" s="120"/>
      <c r="G5" s="120"/>
      <c r="H5" s="5"/>
    </row>
    <row r="6" spans="1:14" ht="15" customHeight="1" x14ac:dyDescent="0.25">
      <c r="A6" s="75" t="s">
        <v>36</v>
      </c>
      <c r="B6" s="177"/>
      <c r="C6" s="177"/>
      <c r="D6" s="6"/>
      <c r="E6" s="7"/>
    </row>
    <row r="7" spans="1:14" ht="15" customHeight="1" x14ac:dyDescent="0.25">
      <c r="A7" s="7"/>
      <c r="B7" s="196" t="s">
        <v>34</v>
      </c>
      <c r="C7" s="196"/>
      <c r="D7" s="10"/>
    </row>
    <row r="8" spans="1:14" ht="20.100000000000001" customHeight="1" x14ac:dyDescent="0.25">
      <c r="B8" s="11"/>
      <c r="C8" s="11"/>
      <c r="D8" s="12" t="s">
        <v>31</v>
      </c>
      <c r="F8" s="180" t="s">
        <v>32</v>
      </c>
      <c r="G8" s="181"/>
      <c r="H8" s="182"/>
    </row>
    <row r="9" spans="1:14" s="14" customFormat="1" ht="20.100000000000001" customHeight="1" x14ac:dyDescent="0.25">
      <c r="A9" s="197"/>
      <c r="B9" s="197"/>
      <c r="C9" s="197"/>
      <c r="D9" s="13">
        <f>SUM(D27,D46,D65,D84,D103,D122,D141,D160)</f>
        <v>35010</v>
      </c>
      <c r="F9" s="15" t="s">
        <v>28</v>
      </c>
      <c r="G9" s="15" t="s">
        <v>29</v>
      </c>
      <c r="H9" s="15" t="s">
        <v>30</v>
      </c>
      <c r="I9" s="16"/>
      <c r="J9" s="16"/>
      <c r="K9" s="16"/>
      <c r="L9" s="16"/>
      <c r="M9" s="16"/>
      <c r="N9" s="16"/>
    </row>
    <row r="10" spans="1:14" s="17" customFormat="1" ht="23.1" customHeight="1" x14ac:dyDescent="0.3">
      <c r="A10" s="198" t="s">
        <v>51</v>
      </c>
      <c r="B10" s="198"/>
      <c r="C10" s="198"/>
      <c r="D10" s="198"/>
      <c r="F10" s="183" t="s">
        <v>66</v>
      </c>
      <c r="G10" s="184"/>
      <c r="H10" s="185"/>
      <c r="I10" s="18"/>
      <c r="J10" s="18"/>
      <c r="K10" s="18"/>
      <c r="L10" s="18"/>
      <c r="M10" s="19"/>
      <c r="N10" s="20"/>
    </row>
    <row r="11" spans="1:14" s="24" customFormat="1" ht="12.75" customHeight="1" x14ac:dyDescent="0.25">
      <c r="A11" s="21" t="s">
        <v>21</v>
      </c>
      <c r="B11" s="22" t="s">
        <v>22</v>
      </c>
      <c r="C11" s="22" t="s">
        <v>23</v>
      </c>
      <c r="D11" s="23" t="s">
        <v>25</v>
      </c>
      <c r="F11" s="186"/>
      <c r="G11" s="187"/>
      <c r="H11" s="188"/>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78" t="s">
        <v>53</v>
      </c>
      <c r="B27" s="179"/>
      <c r="C27" s="179"/>
      <c r="D27" s="96">
        <f>SUM(Grass_61[Amount])</f>
        <v>0</v>
      </c>
      <c r="F27" s="173" t="s">
        <v>33</v>
      </c>
      <c r="G27" s="174"/>
      <c r="H27" s="174"/>
      <c r="I27" s="35"/>
      <c r="J27" s="35"/>
      <c r="K27" s="35"/>
      <c r="L27" s="35"/>
      <c r="M27" s="36"/>
      <c r="N27" s="37"/>
    </row>
    <row r="28" spans="1:14" s="40" customFormat="1" ht="11.1" customHeight="1" x14ac:dyDescent="0.3">
      <c r="A28" s="38"/>
      <c r="B28" s="38"/>
      <c r="C28" s="38"/>
      <c r="D28" s="39"/>
      <c r="F28" s="173"/>
      <c r="G28" s="174"/>
      <c r="H28" s="174"/>
      <c r="I28" s="35"/>
      <c r="J28" s="35"/>
      <c r="K28" s="35"/>
      <c r="L28" s="35"/>
      <c r="M28" s="36"/>
      <c r="N28" s="37"/>
    </row>
    <row r="29" spans="1:14" s="17" customFormat="1" ht="23.1" customHeight="1" x14ac:dyDescent="0.3">
      <c r="A29" s="191" t="s">
        <v>67</v>
      </c>
      <c r="B29" s="192"/>
      <c r="C29" s="192"/>
      <c r="D29" s="193"/>
      <c r="F29" s="183" t="s">
        <v>52</v>
      </c>
      <c r="G29" s="184"/>
      <c r="H29" s="185"/>
      <c r="I29" s="18"/>
      <c r="J29" s="18"/>
      <c r="K29" s="18"/>
      <c r="L29" s="18"/>
      <c r="M29" s="19"/>
      <c r="N29" s="20"/>
    </row>
    <row r="30" spans="1:14" s="41" customFormat="1" ht="12.75" customHeight="1" x14ac:dyDescent="0.25">
      <c r="A30" s="21" t="s">
        <v>21</v>
      </c>
      <c r="B30" s="22" t="s">
        <v>22</v>
      </c>
      <c r="C30" s="22" t="s">
        <v>23</v>
      </c>
      <c r="D30" s="23" t="s">
        <v>25</v>
      </c>
      <c r="F30" s="186"/>
      <c r="G30" s="187"/>
      <c r="H30" s="188"/>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19"/>
      <c r="J44" s="29"/>
      <c r="K44" s="29"/>
      <c r="L44" s="119"/>
      <c r="M44" s="30"/>
      <c r="N44" s="16"/>
    </row>
    <row r="45" spans="1:14" x14ac:dyDescent="0.3">
      <c r="A45" s="106"/>
      <c r="B45" s="107"/>
      <c r="C45" s="107"/>
      <c r="D45" s="114"/>
      <c r="F45" s="103"/>
      <c r="G45" s="104"/>
      <c r="H45" s="109"/>
      <c r="I45" s="119"/>
      <c r="J45" s="29"/>
      <c r="K45" s="29"/>
      <c r="L45" s="119"/>
      <c r="M45" s="30"/>
      <c r="N45" s="16"/>
    </row>
    <row r="46" spans="1:14" s="34" customFormat="1" x14ac:dyDescent="0.3">
      <c r="A46" s="178" t="s">
        <v>54</v>
      </c>
      <c r="B46" s="179"/>
      <c r="C46" s="179"/>
      <c r="D46" s="96">
        <f>SUM(Tree_61[Amount])</f>
        <v>0</v>
      </c>
      <c r="F46" s="173" t="s">
        <v>33</v>
      </c>
      <c r="G46" s="174"/>
      <c r="H46" s="174"/>
      <c r="I46" s="43"/>
      <c r="J46" s="43"/>
      <c r="K46" s="43"/>
      <c r="L46" s="43"/>
      <c r="M46" s="36"/>
      <c r="N46" s="37"/>
    </row>
    <row r="47" spans="1:14" s="40" customFormat="1" ht="11.1" customHeight="1" x14ac:dyDescent="0.3">
      <c r="A47" s="38"/>
      <c r="B47" s="38"/>
      <c r="C47" s="38"/>
      <c r="D47" s="39"/>
      <c r="F47" s="173"/>
      <c r="G47" s="174"/>
      <c r="H47" s="174"/>
      <c r="I47" s="43"/>
      <c r="J47" s="43"/>
      <c r="K47" s="43"/>
      <c r="L47" s="43"/>
      <c r="M47" s="36"/>
      <c r="N47" s="37"/>
    </row>
    <row r="48" spans="1:14" s="17" customFormat="1" ht="23.1" customHeight="1" x14ac:dyDescent="0.3">
      <c r="A48" s="191" t="s">
        <v>68</v>
      </c>
      <c r="B48" s="192"/>
      <c r="C48" s="192"/>
      <c r="D48" s="193"/>
      <c r="F48" s="183" t="s">
        <v>55</v>
      </c>
      <c r="G48" s="184"/>
      <c r="H48" s="185"/>
      <c r="I48" s="44"/>
      <c r="J48" s="44"/>
      <c r="K48" s="44"/>
      <c r="L48" s="44"/>
      <c r="M48" s="19"/>
      <c r="N48" s="20"/>
    </row>
    <row r="49" spans="1:14" s="41" customFormat="1" ht="12.75" customHeight="1" x14ac:dyDescent="0.25">
      <c r="A49" s="21" t="s">
        <v>21</v>
      </c>
      <c r="B49" s="22" t="s">
        <v>22</v>
      </c>
      <c r="C49" s="22" t="s">
        <v>23</v>
      </c>
      <c r="D49" s="23" t="s">
        <v>25</v>
      </c>
      <c r="F49" s="186"/>
      <c r="G49" s="187"/>
      <c r="H49" s="188"/>
      <c r="I49" s="119"/>
      <c r="J49" s="119"/>
      <c r="K49" s="119"/>
      <c r="L49" s="119"/>
      <c r="M49" s="30"/>
      <c r="N49" s="42"/>
    </row>
    <row r="50" spans="1:14" x14ac:dyDescent="0.3">
      <c r="A50" s="100"/>
      <c r="B50" s="101"/>
      <c r="C50" s="101"/>
      <c r="D50" s="112"/>
      <c r="F50" s="103"/>
      <c r="G50" s="104"/>
      <c r="H50" s="109"/>
      <c r="I50" s="119"/>
      <c r="J50" s="119"/>
      <c r="K50" s="119"/>
      <c r="L50" s="119"/>
      <c r="M50" s="30"/>
      <c r="N50" s="16"/>
    </row>
    <row r="51" spans="1:14" x14ac:dyDescent="0.3">
      <c r="A51" s="106"/>
      <c r="B51" s="107"/>
      <c r="C51" s="107"/>
      <c r="D51" s="113"/>
      <c r="F51" s="103"/>
      <c r="G51" s="104"/>
      <c r="H51" s="109"/>
      <c r="I51" s="119"/>
      <c r="J51" s="119"/>
      <c r="K51" s="119"/>
      <c r="L51" s="119"/>
      <c r="M51" s="30"/>
      <c r="N51" s="16"/>
    </row>
    <row r="52" spans="1:14" x14ac:dyDescent="0.3">
      <c r="A52" s="106"/>
      <c r="B52" s="107"/>
      <c r="C52" s="107"/>
      <c r="D52" s="114"/>
      <c r="F52" s="103"/>
      <c r="H52" s="109"/>
      <c r="I52" s="119"/>
      <c r="J52" s="119"/>
      <c r="K52" s="119"/>
      <c r="L52" s="119"/>
      <c r="M52" s="30"/>
      <c r="N52" s="16"/>
    </row>
    <row r="53" spans="1:14" x14ac:dyDescent="0.3">
      <c r="A53" s="106"/>
      <c r="B53" s="107"/>
      <c r="C53" s="107"/>
      <c r="D53" s="113"/>
      <c r="F53" s="103"/>
      <c r="G53" s="104"/>
      <c r="H53" s="109"/>
      <c r="I53" s="119"/>
      <c r="J53" s="119"/>
      <c r="K53" s="119"/>
      <c r="L53" s="119"/>
      <c r="M53" s="30"/>
      <c r="N53" s="16"/>
    </row>
    <row r="54" spans="1:14" x14ac:dyDescent="0.3">
      <c r="A54" s="106"/>
      <c r="B54" s="107"/>
      <c r="C54" s="107"/>
      <c r="D54" s="114"/>
      <c r="F54" s="103"/>
      <c r="G54" s="104"/>
      <c r="H54" s="109"/>
      <c r="I54" s="119"/>
      <c r="J54" s="119"/>
      <c r="K54" s="119"/>
      <c r="L54" s="119"/>
      <c r="M54" s="30"/>
      <c r="N54" s="16"/>
    </row>
    <row r="55" spans="1:14" x14ac:dyDescent="0.3">
      <c r="A55" s="106"/>
      <c r="B55" s="107"/>
      <c r="C55" s="107"/>
      <c r="D55" s="113"/>
      <c r="F55" s="103"/>
      <c r="G55" s="104"/>
      <c r="H55" s="109"/>
      <c r="I55" s="119"/>
      <c r="J55" s="119"/>
      <c r="K55" s="119"/>
      <c r="L55" s="119"/>
      <c r="M55" s="30"/>
      <c r="N55" s="16"/>
    </row>
    <row r="56" spans="1:14" x14ac:dyDescent="0.3">
      <c r="A56" s="106"/>
      <c r="B56" s="107"/>
      <c r="C56" s="107"/>
      <c r="D56" s="114"/>
      <c r="F56" s="103"/>
      <c r="G56" s="104"/>
      <c r="H56" s="109"/>
      <c r="I56" s="119"/>
      <c r="J56" s="119"/>
      <c r="K56" s="119"/>
      <c r="L56" s="119"/>
      <c r="M56" s="30"/>
      <c r="N56" s="16"/>
    </row>
    <row r="57" spans="1:14" x14ac:dyDescent="0.3">
      <c r="A57" s="106"/>
      <c r="B57" s="107"/>
      <c r="C57" s="107"/>
      <c r="D57" s="113"/>
      <c r="F57" s="103"/>
      <c r="G57" s="104"/>
      <c r="H57" s="109"/>
      <c r="I57" s="119"/>
      <c r="J57" s="119"/>
      <c r="K57" s="119"/>
      <c r="L57" s="119"/>
      <c r="M57" s="30"/>
      <c r="N57" s="16"/>
    </row>
    <row r="58" spans="1:14" x14ac:dyDescent="0.3">
      <c r="A58" s="106"/>
      <c r="B58" s="107"/>
      <c r="C58" s="107"/>
      <c r="D58" s="114"/>
      <c r="F58" s="103"/>
      <c r="G58" s="104"/>
      <c r="H58" s="109"/>
      <c r="I58" s="119"/>
      <c r="J58" s="119"/>
      <c r="K58" s="119"/>
      <c r="L58" s="119"/>
      <c r="M58" s="30"/>
      <c r="N58" s="16"/>
    </row>
    <row r="59" spans="1:14" x14ac:dyDescent="0.3">
      <c r="A59" s="106"/>
      <c r="B59" s="107"/>
      <c r="C59" s="107"/>
      <c r="D59" s="113"/>
      <c r="F59" s="103"/>
      <c r="G59" s="104"/>
      <c r="H59" s="109"/>
      <c r="I59" s="119"/>
      <c r="J59" s="190"/>
      <c r="K59" s="190"/>
      <c r="L59" s="119"/>
      <c r="M59" s="30"/>
      <c r="N59" s="16"/>
    </row>
    <row r="60" spans="1:14" x14ac:dyDescent="0.3">
      <c r="A60" s="106"/>
      <c r="B60" s="107"/>
      <c r="C60" s="107"/>
      <c r="D60" s="114"/>
      <c r="F60" s="103"/>
      <c r="G60" s="104"/>
      <c r="H60" s="109"/>
      <c r="I60" s="189"/>
      <c r="J60" s="189"/>
      <c r="K60" s="189"/>
      <c r="L60" s="189"/>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78" t="s">
        <v>56</v>
      </c>
      <c r="B65" s="179"/>
      <c r="C65" s="179"/>
      <c r="D65" s="96">
        <f>SUM(Pest_61[Amount])</f>
        <v>0</v>
      </c>
      <c r="F65" s="173" t="s">
        <v>33</v>
      </c>
      <c r="G65" s="174"/>
      <c r="H65" s="174"/>
    </row>
    <row r="66" spans="1:8" x14ac:dyDescent="0.3">
      <c r="F66" s="173"/>
      <c r="G66" s="174"/>
      <c r="H66" s="174"/>
    </row>
    <row r="67" spans="1:8" ht="17.399999999999999" x14ac:dyDescent="0.3">
      <c r="A67" s="198" t="s">
        <v>69</v>
      </c>
      <c r="B67" s="198"/>
      <c r="C67" s="198"/>
      <c r="D67" s="198"/>
      <c r="E67" s="17"/>
      <c r="F67" s="183" t="s">
        <v>57</v>
      </c>
      <c r="G67" s="184"/>
      <c r="H67" s="185"/>
    </row>
    <row r="68" spans="1:8" x14ac:dyDescent="0.3">
      <c r="A68" s="21" t="s">
        <v>21</v>
      </c>
      <c r="B68" s="22" t="s">
        <v>22</v>
      </c>
      <c r="C68" s="22" t="s">
        <v>23</v>
      </c>
      <c r="D68" s="23" t="s">
        <v>25</v>
      </c>
      <c r="E68" s="24"/>
      <c r="F68" s="186"/>
      <c r="G68" s="187"/>
      <c r="H68" s="188"/>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78" t="s">
        <v>58</v>
      </c>
      <c r="B84" s="179"/>
      <c r="C84" s="179"/>
      <c r="D84" s="96">
        <f>SUM(Garbage_61[Amount])</f>
        <v>0</v>
      </c>
      <c r="E84" s="34"/>
      <c r="F84" s="173" t="s">
        <v>33</v>
      </c>
      <c r="G84" s="174"/>
      <c r="H84" s="174"/>
    </row>
    <row r="85" spans="1:8" x14ac:dyDescent="0.3">
      <c r="A85" s="38"/>
      <c r="B85" s="38"/>
      <c r="C85" s="38"/>
      <c r="D85" s="39"/>
      <c r="E85" s="40"/>
      <c r="F85" s="173"/>
      <c r="G85" s="174"/>
      <c r="H85" s="174"/>
    </row>
    <row r="86" spans="1:8" ht="17.399999999999999" x14ac:dyDescent="0.3">
      <c r="A86" s="191" t="s">
        <v>59</v>
      </c>
      <c r="B86" s="192"/>
      <c r="C86" s="192"/>
      <c r="D86" s="193"/>
      <c r="E86" s="17"/>
      <c r="F86" s="183" t="s">
        <v>60</v>
      </c>
      <c r="G86" s="184"/>
      <c r="H86" s="185"/>
    </row>
    <row r="87" spans="1:8" x14ac:dyDescent="0.3">
      <c r="A87" s="21" t="s">
        <v>21</v>
      </c>
      <c r="B87" s="22" t="s">
        <v>22</v>
      </c>
      <c r="C87" s="22" t="s">
        <v>23</v>
      </c>
      <c r="D87" s="23" t="s">
        <v>25</v>
      </c>
      <c r="E87" s="41"/>
      <c r="F87" s="186"/>
      <c r="G87" s="187"/>
      <c r="H87" s="188"/>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78" t="s">
        <v>61</v>
      </c>
      <c r="B103" s="179"/>
      <c r="C103" s="179"/>
      <c r="D103" s="96">
        <f>SUM(Boarding_61[Amount])</f>
        <v>0</v>
      </c>
      <c r="E103" s="34"/>
      <c r="F103" s="173" t="s">
        <v>33</v>
      </c>
      <c r="G103" s="174"/>
      <c r="H103" s="174"/>
    </row>
    <row r="104" spans="1:8" x14ac:dyDescent="0.3">
      <c r="A104" s="38"/>
      <c r="B104" s="38"/>
      <c r="C104" s="38"/>
      <c r="D104" s="39"/>
      <c r="E104" s="40"/>
      <c r="F104" s="173"/>
      <c r="G104" s="174"/>
      <c r="H104" s="174"/>
    </row>
    <row r="105" spans="1:8" ht="17.399999999999999" x14ac:dyDescent="0.3">
      <c r="A105" s="191" t="s">
        <v>70</v>
      </c>
      <c r="B105" s="192"/>
      <c r="C105" s="192"/>
      <c r="D105" s="193"/>
      <c r="E105" s="17"/>
      <c r="F105" s="183" t="s">
        <v>62</v>
      </c>
      <c r="G105" s="184"/>
      <c r="H105" s="185"/>
    </row>
    <row r="106" spans="1:8" x14ac:dyDescent="0.3">
      <c r="A106" s="21" t="s">
        <v>21</v>
      </c>
      <c r="B106" s="22" t="s">
        <v>22</v>
      </c>
      <c r="C106" s="22" t="s">
        <v>23</v>
      </c>
      <c r="D106" s="23" t="s">
        <v>25</v>
      </c>
      <c r="E106" s="41"/>
      <c r="F106" s="186"/>
      <c r="G106" s="187"/>
      <c r="H106" s="188"/>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78" t="s">
        <v>63</v>
      </c>
      <c r="B122" s="179"/>
      <c r="C122" s="179"/>
      <c r="D122" s="96">
        <f>SUM(Fence_61[Amount])</f>
        <v>0</v>
      </c>
      <c r="E122" s="34"/>
      <c r="F122" s="173" t="s">
        <v>33</v>
      </c>
      <c r="G122" s="174"/>
      <c r="H122" s="174"/>
    </row>
    <row r="123" spans="1:8" x14ac:dyDescent="0.3">
      <c r="F123" s="173"/>
      <c r="G123" s="174"/>
      <c r="H123" s="174"/>
    </row>
    <row r="124" spans="1:8" ht="17.399999999999999" x14ac:dyDescent="0.3">
      <c r="A124" s="191" t="s">
        <v>26</v>
      </c>
      <c r="B124" s="192"/>
      <c r="C124" s="192"/>
      <c r="D124" s="193"/>
      <c r="E124" s="17"/>
      <c r="F124" s="183" t="s">
        <v>11</v>
      </c>
      <c r="G124" s="184"/>
      <c r="H124" s="185"/>
    </row>
    <row r="125" spans="1:8" x14ac:dyDescent="0.3">
      <c r="A125" s="21" t="s">
        <v>21</v>
      </c>
      <c r="B125" s="22" t="s">
        <v>22</v>
      </c>
      <c r="C125" s="22" t="s">
        <v>23</v>
      </c>
      <c r="D125" s="23" t="s">
        <v>25</v>
      </c>
      <c r="E125" s="41"/>
      <c r="F125" s="186"/>
      <c r="G125" s="187"/>
      <c r="H125" s="188"/>
    </row>
    <row r="126" spans="1:8" x14ac:dyDescent="0.3">
      <c r="A126" s="100"/>
      <c r="B126" s="101"/>
      <c r="C126" s="101"/>
      <c r="D126" s="112">
        <v>35010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78" t="s">
        <v>27</v>
      </c>
      <c r="B141" s="179"/>
      <c r="C141" s="179"/>
      <c r="D141" s="96">
        <f>SUM(Demolition_61[Amount])</f>
        <v>35010</v>
      </c>
      <c r="E141" s="34"/>
      <c r="F141" s="173" t="s">
        <v>33</v>
      </c>
      <c r="G141" s="174"/>
      <c r="H141" s="174"/>
    </row>
    <row r="142" spans="1:8" x14ac:dyDescent="0.3">
      <c r="A142" s="38"/>
      <c r="B142" s="38"/>
      <c r="C142" s="38"/>
      <c r="D142" s="39"/>
      <c r="E142" s="40"/>
      <c r="F142" s="173"/>
      <c r="G142" s="174"/>
      <c r="H142" s="174"/>
    </row>
    <row r="143" spans="1:8" ht="17.399999999999999" x14ac:dyDescent="0.3">
      <c r="A143" s="191" t="s">
        <v>64</v>
      </c>
      <c r="B143" s="192"/>
      <c r="C143" s="192"/>
      <c r="D143" s="193"/>
      <c r="E143" s="17"/>
      <c r="F143" s="183" t="s">
        <v>44</v>
      </c>
      <c r="G143" s="184"/>
      <c r="H143" s="185"/>
    </row>
    <row r="144" spans="1:8" x14ac:dyDescent="0.3">
      <c r="A144" s="21" t="s">
        <v>21</v>
      </c>
      <c r="B144" s="22" t="s">
        <v>22</v>
      </c>
      <c r="C144" s="22" t="s">
        <v>23</v>
      </c>
      <c r="D144" s="23" t="s">
        <v>25</v>
      </c>
      <c r="E144" s="41"/>
      <c r="F144" s="186"/>
      <c r="G144" s="187"/>
      <c r="H144" s="188"/>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78" t="s">
        <v>65</v>
      </c>
      <c r="B160" s="179"/>
      <c r="C160" s="179"/>
      <c r="D160" s="96">
        <f>SUM(Rehab_61[Amount])</f>
        <v>0</v>
      </c>
      <c r="E160" s="34"/>
      <c r="F160" s="173" t="s">
        <v>33</v>
      </c>
      <c r="G160" s="174"/>
      <c r="H160" s="174"/>
    </row>
    <row r="161" spans="6:8" x14ac:dyDescent="0.3">
      <c r="F161" s="173"/>
      <c r="G161" s="174"/>
      <c r="H161" s="174"/>
    </row>
  </sheetData>
  <sheetProtection algorithmName="SHA-512" hashValue="N7NrDFVCPOWY02GnvSIAR0VqmQGr0YJJlnQaAFrLRV9AR+j9TBYqzTMjSXB+uwqTDREkyKFVy3mQJjMNeYQT2g==" saltValue="Z5u8fVOMv8z+6vFBIzQRrQ=="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pageSetUpPr fitToPage="1"/>
  </sheetPr>
  <dimension ref="A1:N161"/>
  <sheetViews>
    <sheetView showGridLines="0" zoomScaleNormal="100" workbookViewId="0">
      <pane ySplit="9" topLeftCell="A115"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5" t="s">
        <v>24</v>
      </c>
      <c r="B1" s="175"/>
      <c r="C1" s="175"/>
      <c r="D1" s="175"/>
      <c r="E1" s="1"/>
      <c r="F1" s="2"/>
      <c r="G1" s="2"/>
      <c r="H1" s="1"/>
    </row>
    <row r="2" spans="1:14" ht="24.9" customHeight="1" x14ac:dyDescent="0.3">
      <c r="A2" s="176" t="s">
        <v>71</v>
      </c>
      <c r="B2" s="176"/>
      <c r="C2" s="176"/>
      <c r="D2" s="176"/>
      <c r="E2" s="4"/>
      <c r="F2" s="120"/>
      <c r="G2" s="120"/>
      <c r="H2" s="5"/>
    </row>
    <row r="3" spans="1:14" ht="31.5" customHeight="1" x14ac:dyDescent="0.3">
      <c r="A3" s="176"/>
      <c r="B3" s="176"/>
      <c r="C3" s="176"/>
      <c r="D3" s="176"/>
      <c r="E3" s="4"/>
      <c r="F3" s="120"/>
      <c r="G3" s="120"/>
      <c r="H3" s="5"/>
    </row>
    <row r="4" spans="1:14" ht="15" customHeight="1" x14ac:dyDescent="0.25">
      <c r="A4" s="75" t="s">
        <v>19</v>
      </c>
      <c r="B4" s="194" t="str">
        <f>IF('Summary Sheet'!B94="","",'Summary Sheet'!B94)</f>
        <v>244 W 113TH ST</v>
      </c>
      <c r="C4" s="194"/>
      <c r="D4" s="120"/>
      <c r="E4" s="4"/>
      <c r="F4" s="120"/>
      <c r="G4" s="120"/>
      <c r="H4" s="5"/>
    </row>
    <row r="5" spans="1:14" ht="15" customHeight="1" x14ac:dyDescent="0.25">
      <c r="A5" s="75" t="s">
        <v>20</v>
      </c>
      <c r="B5" s="195" t="str">
        <f>IF('Summary Sheet'!C94="","",'Summary Sheet'!C94)</f>
        <v/>
      </c>
      <c r="C5" s="195"/>
      <c r="D5" s="120"/>
      <c r="E5" s="4"/>
      <c r="F5" s="120"/>
      <c r="G5" s="120"/>
      <c r="H5" s="5"/>
    </row>
    <row r="6" spans="1:14" ht="15" customHeight="1" x14ac:dyDescent="0.25">
      <c r="A6" s="75" t="s">
        <v>36</v>
      </c>
      <c r="B6" s="177"/>
      <c r="C6" s="177"/>
      <c r="D6" s="6"/>
      <c r="E6" s="7"/>
    </row>
    <row r="7" spans="1:14" ht="15" customHeight="1" x14ac:dyDescent="0.25">
      <c r="A7" s="7"/>
      <c r="B7" s="196" t="s">
        <v>34</v>
      </c>
      <c r="C7" s="196"/>
      <c r="D7" s="10"/>
    </row>
    <row r="8" spans="1:14" ht="20.100000000000001" customHeight="1" x14ac:dyDescent="0.25">
      <c r="B8" s="11"/>
      <c r="C8" s="11"/>
      <c r="D8" s="12" t="s">
        <v>31</v>
      </c>
      <c r="F8" s="180" t="s">
        <v>32</v>
      </c>
      <c r="G8" s="181"/>
      <c r="H8" s="182"/>
    </row>
    <row r="9" spans="1:14" s="14" customFormat="1" ht="20.100000000000001" customHeight="1" x14ac:dyDescent="0.25">
      <c r="A9" s="197"/>
      <c r="B9" s="197"/>
      <c r="C9" s="197"/>
      <c r="D9" s="13">
        <f>SUM(D27,D46,D65,D84,D103,D122,D141,D160)</f>
        <v>15510</v>
      </c>
      <c r="F9" s="15" t="s">
        <v>28</v>
      </c>
      <c r="G9" s="15" t="s">
        <v>29</v>
      </c>
      <c r="H9" s="15" t="s">
        <v>30</v>
      </c>
      <c r="I9" s="16"/>
      <c r="J9" s="16"/>
      <c r="K9" s="16"/>
      <c r="L9" s="16"/>
      <c r="M9" s="16"/>
      <c r="N9" s="16"/>
    </row>
    <row r="10" spans="1:14" s="17" customFormat="1" ht="23.1" customHeight="1" x14ac:dyDescent="0.3">
      <c r="A10" s="198" t="s">
        <v>51</v>
      </c>
      <c r="B10" s="198"/>
      <c r="C10" s="198"/>
      <c r="D10" s="198"/>
      <c r="F10" s="183" t="s">
        <v>66</v>
      </c>
      <c r="G10" s="184"/>
      <c r="H10" s="185"/>
      <c r="I10" s="18"/>
      <c r="J10" s="18"/>
      <c r="K10" s="18"/>
      <c r="L10" s="18"/>
      <c r="M10" s="19"/>
      <c r="N10" s="20"/>
    </row>
    <row r="11" spans="1:14" s="24" customFormat="1" ht="12.75" customHeight="1" x14ac:dyDescent="0.25">
      <c r="A11" s="21" t="s">
        <v>21</v>
      </c>
      <c r="B11" s="22" t="s">
        <v>22</v>
      </c>
      <c r="C11" s="22" t="s">
        <v>23</v>
      </c>
      <c r="D11" s="23" t="s">
        <v>25</v>
      </c>
      <c r="F11" s="186"/>
      <c r="G11" s="187"/>
      <c r="H11" s="188"/>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78" t="s">
        <v>53</v>
      </c>
      <c r="B27" s="179"/>
      <c r="C27" s="179"/>
      <c r="D27" s="96">
        <f>SUM(Grass_62[Amount])</f>
        <v>0</v>
      </c>
      <c r="F27" s="173" t="s">
        <v>33</v>
      </c>
      <c r="G27" s="174"/>
      <c r="H27" s="174"/>
      <c r="I27" s="35"/>
      <c r="J27" s="35"/>
      <c r="K27" s="35"/>
      <c r="L27" s="35"/>
      <c r="M27" s="36"/>
      <c r="N27" s="37"/>
    </row>
    <row r="28" spans="1:14" s="40" customFormat="1" ht="11.1" customHeight="1" x14ac:dyDescent="0.3">
      <c r="A28" s="38"/>
      <c r="B28" s="38"/>
      <c r="C28" s="38"/>
      <c r="D28" s="39"/>
      <c r="F28" s="173"/>
      <c r="G28" s="174"/>
      <c r="H28" s="174"/>
      <c r="I28" s="35"/>
      <c r="J28" s="35"/>
      <c r="K28" s="35"/>
      <c r="L28" s="35"/>
      <c r="M28" s="36"/>
      <c r="N28" s="37"/>
    </row>
    <row r="29" spans="1:14" s="17" customFormat="1" ht="23.1" customHeight="1" x14ac:dyDescent="0.3">
      <c r="A29" s="191" t="s">
        <v>67</v>
      </c>
      <c r="B29" s="192"/>
      <c r="C29" s="192"/>
      <c r="D29" s="193"/>
      <c r="F29" s="183" t="s">
        <v>52</v>
      </c>
      <c r="G29" s="184"/>
      <c r="H29" s="185"/>
      <c r="I29" s="18"/>
      <c r="J29" s="18"/>
      <c r="K29" s="18"/>
      <c r="L29" s="18"/>
      <c r="M29" s="19"/>
      <c r="N29" s="20"/>
    </row>
    <row r="30" spans="1:14" s="41" customFormat="1" ht="12.75" customHeight="1" x14ac:dyDescent="0.25">
      <c r="A30" s="21" t="s">
        <v>21</v>
      </c>
      <c r="B30" s="22" t="s">
        <v>22</v>
      </c>
      <c r="C30" s="22" t="s">
        <v>23</v>
      </c>
      <c r="D30" s="23" t="s">
        <v>25</v>
      </c>
      <c r="F30" s="186"/>
      <c r="G30" s="187"/>
      <c r="H30" s="188"/>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19"/>
      <c r="J44" s="29"/>
      <c r="K44" s="29"/>
      <c r="L44" s="119"/>
      <c r="M44" s="30"/>
      <c r="N44" s="16"/>
    </row>
    <row r="45" spans="1:14" x14ac:dyDescent="0.3">
      <c r="A45" s="106"/>
      <c r="B45" s="107"/>
      <c r="C45" s="107"/>
      <c r="D45" s="114"/>
      <c r="F45" s="103"/>
      <c r="G45" s="104"/>
      <c r="H45" s="109"/>
      <c r="I45" s="119"/>
      <c r="J45" s="29"/>
      <c r="K45" s="29"/>
      <c r="L45" s="119"/>
      <c r="M45" s="30"/>
      <c r="N45" s="16"/>
    </row>
    <row r="46" spans="1:14" s="34" customFormat="1" x14ac:dyDescent="0.3">
      <c r="A46" s="178" t="s">
        <v>54</v>
      </c>
      <c r="B46" s="179"/>
      <c r="C46" s="179"/>
      <c r="D46" s="96">
        <f>SUM(Tree_62[Amount])</f>
        <v>0</v>
      </c>
      <c r="F46" s="173" t="s">
        <v>33</v>
      </c>
      <c r="G46" s="174"/>
      <c r="H46" s="174"/>
      <c r="I46" s="43"/>
      <c r="J46" s="43"/>
      <c r="K46" s="43"/>
      <c r="L46" s="43"/>
      <c r="M46" s="36"/>
      <c r="N46" s="37"/>
    </row>
    <row r="47" spans="1:14" s="40" customFormat="1" ht="11.1" customHeight="1" x14ac:dyDescent="0.3">
      <c r="A47" s="38"/>
      <c r="B47" s="38"/>
      <c r="C47" s="38"/>
      <c r="D47" s="39"/>
      <c r="F47" s="173"/>
      <c r="G47" s="174"/>
      <c r="H47" s="174"/>
      <c r="I47" s="43"/>
      <c r="J47" s="43"/>
      <c r="K47" s="43"/>
      <c r="L47" s="43"/>
      <c r="M47" s="36"/>
      <c r="N47" s="37"/>
    </row>
    <row r="48" spans="1:14" s="17" customFormat="1" ht="23.1" customHeight="1" x14ac:dyDescent="0.3">
      <c r="A48" s="191" t="s">
        <v>68</v>
      </c>
      <c r="B48" s="192"/>
      <c r="C48" s="192"/>
      <c r="D48" s="193"/>
      <c r="F48" s="183" t="s">
        <v>55</v>
      </c>
      <c r="G48" s="184"/>
      <c r="H48" s="185"/>
      <c r="I48" s="44"/>
      <c r="J48" s="44"/>
      <c r="K48" s="44"/>
      <c r="L48" s="44"/>
      <c r="M48" s="19"/>
      <c r="N48" s="20"/>
    </row>
    <row r="49" spans="1:14" s="41" customFormat="1" ht="12.75" customHeight="1" x14ac:dyDescent="0.25">
      <c r="A49" s="21" t="s">
        <v>21</v>
      </c>
      <c r="B49" s="22" t="s">
        <v>22</v>
      </c>
      <c r="C49" s="22" t="s">
        <v>23</v>
      </c>
      <c r="D49" s="23" t="s">
        <v>25</v>
      </c>
      <c r="F49" s="186"/>
      <c r="G49" s="187"/>
      <c r="H49" s="188"/>
      <c r="I49" s="119"/>
      <c r="J49" s="119"/>
      <c r="K49" s="119"/>
      <c r="L49" s="119"/>
      <c r="M49" s="30"/>
      <c r="N49" s="42"/>
    </row>
    <row r="50" spans="1:14" x14ac:dyDescent="0.3">
      <c r="A50" s="100"/>
      <c r="B50" s="101"/>
      <c r="C50" s="101"/>
      <c r="D50" s="112"/>
      <c r="F50" s="103"/>
      <c r="G50" s="104"/>
      <c r="H50" s="109"/>
      <c r="I50" s="119"/>
      <c r="J50" s="119"/>
      <c r="K50" s="119"/>
      <c r="L50" s="119"/>
      <c r="M50" s="30"/>
      <c r="N50" s="16"/>
    </row>
    <row r="51" spans="1:14" x14ac:dyDescent="0.3">
      <c r="A51" s="106"/>
      <c r="B51" s="107"/>
      <c r="C51" s="107"/>
      <c r="D51" s="113"/>
      <c r="F51" s="103"/>
      <c r="G51" s="104"/>
      <c r="H51" s="109"/>
      <c r="I51" s="119"/>
      <c r="J51" s="119"/>
      <c r="K51" s="119"/>
      <c r="L51" s="119"/>
      <c r="M51" s="30"/>
      <c r="N51" s="16"/>
    </row>
    <row r="52" spans="1:14" x14ac:dyDescent="0.3">
      <c r="A52" s="106"/>
      <c r="B52" s="107"/>
      <c r="C52" s="107"/>
      <c r="D52" s="114"/>
      <c r="F52" s="103"/>
      <c r="H52" s="109"/>
      <c r="I52" s="119"/>
      <c r="J52" s="119"/>
      <c r="K52" s="119"/>
      <c r="L52" s="119"/>
      <c r="M52" s="30"/>
      <c r="N52" s="16"/>
    </row>
    <row r="53" spans="1:14" x14ac:dyDescent="0.3">
      <c r="A53" s="106"/>
      <c r="B53" s="107"/>
      <c r="C53" s="107"/>
      <c r="D53" s="113"/>
      <c r="F53" s="103"/>
      <c r="G53" s="104"/>
      <c r="H53" s="109"/>
      <c r="I53" s="119"/>
      <c r="J53" s="119"/>
      <c r="K53" s="119"/>
      <c r="L53" s="119"/>
      <c r="M53" s="30"/>
      <c r="N53" s="16"/>
    </row>
    <row r="54" spans="1:14" x14ac:dyDescent="0.3">
      <c r="A54" s="106"/>
      <c r="B54" s="107"/>
      <c r="C54" s="107"/>
      <c r="D54" s="114"/>
      <c r="F54" s="103"/>
      <c r="G54" s="104"/>
      <c r="H54" s="109"/>
      <c r="I54" s="119"/>
      <c r="J54" s="119"/>
      <c r="K54" s="119"/>
      <c r="L54" s="119"/>
      <c r="M54" s="30"/>
      <c r="N54" s="16"/>
    </row>
    <row r="55" spans="1:14" x14ac:dyDescent="0.3">
      <c r="A55" s="106"/>
      <c r="B55" s="107"/>
      <c r="C55" s="107"/>
      <c r="D55" s="113"/>
      <c r="F55" s="103"/>
      <c r="G55" s="104"/>
      <c r="H55" s="109"/>
      <c r="I55" s="119"/>
      <c r="J55" s="119"/>
      <c r="K55" s="119"/>
      <c r="L55" s="119"/>
      <c r="M55" s="30"/>
      <c r="N55" s="16"/>
    </row>
    <row r="56" spans="1:14" x14ac:dyDescent="0.3">
      <c r="A56" s="106"/>
      <c r="B56" s="107"/>
      <c r="C56" s="107"/>
      <c r="D56" s="114"/>
      <c r="F56" s="103"/>
      <c r="G56" s="104"/>
      <c r="H56" s="109"/>
      <c r="I56" s="119"/>
      <c r="J56" s="119"/>
      <c r="K56" s="119"/>
      <c r="L56" s="119"/>
      <c r="M56" s="30"/>
      <c r="N56" s="16"/>
    </row>
    <row r="57" spans="1:14" x14ac:dyDescent="0.3">
      <c r="A57" s="106"/>
      <c r="B57" s="107"/>
      <c r="C57" s="107"/>
      <c r="D57" s="113"/>
      <c r="F57" s="103"/>
      <c r="G57" s="104"/>
      <c r="H57" s="109"/>
      <c r="I57" s="119"/>
      <c r="J57" s="119"/>
      <c r="K57" s="119"/>
      <c r="L57" s="119"/>
      <c r="M57" s="30"/>
      <c r="N57" s="16"/>
    </row>
    <row r="58" spans="1:14" x14ac:dyDescent="0.3">
      <c r="A58" s="106"/>
      <c r="B58" s="107"/>
      <c r="C58" s="107"/>
      <c r="D58" s="114"/>
      <c r="F58" s="103"/>
      <c r="G58" s="104"/>
      <c r="H58" s="109"/>
      <c r="I58" s="119"/>
      <c r="J58" s="119"/>
      <c r="K58" s="119"/>
      <c r="L58" s="119"/>
      <c r="M58" s="30"/>
      <c r="N58" s="16"/>
    </row>
    <row r="59" spans="1:14" x14ac:dyDescent="0.3">
      <c r="A59" s="106"/>
      <c r="B59" s="107"/>
      <c r="C59" s="107"/>
      <c r="D59" s="113"/>
      <c r="F59" s="103"/>
      <c r="G59" s="104"/>
      <c r="H59" s="109"/>
      <c r="I59" s="119"/>
      <c r="J59" s="190"/>
      <c r="K59" s="190"/>
      <c r="L59" s="119"/>
      <c r="M59" s="30"/>
      <c r="N59" s="16"/>
    </row>
    <row r="60" spans="1:14" x14ac:dyDescent="0.3">
      <c r="A60" s="106"/>
      <c r="B60" s="107"/>
      <c r="C60" s="107"/>
      <c r="D60" s="114"/>
      <c r="F60" s="103"/>
      <c r="G60" s="104"/>
      <c r="H60" s="109"/>
      <c r="I60" s="189"/>
      <c r="J60" s="189"/>
      <c r="K60" s="189"/>
      <c r="L60" s="189"/>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78" t="s">
        <v>56</v>
      </c>
      <c r="B65" s="179"/>
      <c r="C65" s="179"/>
      <c r="D65" s="96">
        <f>SUM(Pest_62[Amount])</f>
        <v>0</v>
      </c>
      <c r="F65" s="173" t="s">
        <v>33</v>
      </c>
      <c r="G65" s="174"/>
      <c r="H65" s="174"/>
    </row>
    <row r="66" spans="1:8" x14ac:dyDescent="0.3">
      <c r="F66" s="173"/>
      <c r="G66" s="174"/>
      <c r="H66" s="174"/>
    </row>
    <row r="67" spans="1:8" ht="17.399999999999999" x14ac:dyDescent="0.3">
      <c r="A67" s="198" t="s">
        <v>69</v>
      </c>
      <c r="B67" s="198"/>
      <c r="C67" s="198"/>
      <c r="D67" s="198"/>
      <c r="E67" s="17"/>
      <c r="F67" s="183" t="s">
        <v>57</v>
      </c>
      <c r="G67" s="184"/>
      <c r="H67" s="185"/>
    </row>
    <row r="68" spans="1:8" x14ac:dyDescent="0.3">
      <c r="A68" s="21" t="s">
        <v>21</v>
      </c>
      <c r="B68" s="22" t="s">
        <v>22</v>
      </c>
      <c r="C68" s="22" t="s">
        <v>23</v>
      </c>
      <c r="D68" s="23" t="s">
        <v>25</v>
      </c>
      <c r="E68" s="24"/>
      <c r="F68" s="186"/>
      <c r="G68" s="187"/>
      <c r="H68" s="188"/>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78" t="s">
        <v>58</v>
      </c>
      <c r="B84" s="179"/>
      <c r="C84" s="179"/>
      <c r="D84" s="96">
        <f>SUM(Garbage_62[Amount])</f>
        <v>0</v>
      </c>
      <c r="E84" s="34"/>
      <c r="F84" s="173" t="s">
        <v>33</v>
      </c>
      <c r="G84" s="174"/>
      <c r="H84" s="174"/>
    </row>
    <row r="85" spans="1:8" x14ac:dyDescent="0.3">
      <c r="A85" s="38"/>
      <c r="B85" s="38"/>
      <c r="C85" s="38"/>
      <c r="D85" s="39"/>
      <c r="E85" s="40"/>
      <c r="F85" s="173"/>
      <c r="G85" s="174"/>
      <c r="H85" s="174"/>
    </row>
    <row r="86" spans="1:8" ht="17.399999999999999" x14ac:dyDescent="0.3">
      <c r="A86" s="191" t="s">
        <v>59</v>
      </c>
      <c r="B86" s="192"/>
      <c r="C86" s="192"/>
      <c r="D86" s="193"/>
      <c r="E86" s="17"/>
      <c r="F86" s="183" t="s">
        <v>60</v>
      </c>
      <c r="G86" s="184"/>
      <c r="H86" s="185"/>
    </row>
    <row r="87" spans="1:8" x14ac:dyDescent="0.3">
      <c r="A87" s="21" t="s">
        <v>21</v>
      </c>
      <c r="B87" s="22" t="s">
        <v>22</v>
      </c>
      <c r="C87" s="22" t="s">
        <v>23</v>
      </c>
      <c r="D87" s="23" t="s">
        <v>25</v>
      </c>
      <c r="E87" s="41"/>
      <c r="F87" s="186"/>
      <c r="G87" s="187"/>
      <c r="H87" s="188"/>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78" t="s">
        <v>61</v>
      </c>
      <c r="B103" s="179"/>
      <c r="C103" s="179"/>
      <c r="D103" s="96">
        <f>SUM(Boarding_62[Amount])</f>
        <v>0</v>
      </c>
      <c r="E103" s="34"/>
      <c r="F103" s="173" t="s">
        <v>33</v>
      </c>
      <c r="G103" s="174"/>
      <c r="H103" s="174"/>
    </row>
    <row r="104" spans="1:8" x14ac:dyDescent="0.3">
      <c r="A104" s="38"/>
      <c r="B104" s="38"/>
      <c r="C104" s="38"/>
      <c r="D104" s="39"/>
      <c r="E104" s="40"/>
      <c r="F104" s="173"/>
      <c r="G104" s="174"/>
      <c r="H104" s="174"/>
    </row>
    <row r="105" spans="1:8" ht="17.399999999999999" x14ac:dyDescent="0.3">
      <c r="A105" s="191" t="s">
        <v>70</v>
      </c>
      <c r="B105" s="192"/>
      <c r="C105" s="192"/>
      <c r="D105" s="193"/>
      <c r="E105" s="17"/>
      <c r="F105" s="183" t="s">
        <v>62</v>
      </c>
      <c r="G105" s="184"/>
      <c r="H105" s="185"/>
    </row>
    <row r="106" spans="1:8" x14ac:dyDescent="0.3">
      <c r="A106" s="21" t="s">
        <v>21</v>
      </c>
      <c r="B106" s="22" t="s">
        <v>22</v>
      </c>
      <c r="C106" s="22" t="s">
        <v>23</v>
      </c>
      <c r="D106" s="23" t="s">
        <v>25</v>
      </c>
      <c r="E106" s="41"/>
      <c r="F106" s="186"/>
      <c r="G106" s="187"/>
      <c r="H106" s="188"/>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78" t="s">
        <v>63</v>
      </c>
      <c r="B122" s="179"/>
      <c r="C122" s="179"/>
      <c r="D122" s="96">
        <f>SUM(Fence_62[Amount])</f>
        <v>0</v>
      </c>
      <c r="E122" s="34"/>
      <c r="F122" s="173" t="s">
        <v>33</v>
      </c>
      <c r="G122" s="174"/>
      <c r="H122" s="174"/>
    </row>
    <row r="123" spans="1:8" x14ac:dyDescent="0.3">
      <c r="F123" s="173"/>
      <c r="G123" s="174"/>
      <c r="H123" s="174"/>
    </row>
    <row r="124" spans="1:8" ht="17.399999999999999" x14ac:dyDescent="0.3">
      <c r="A124" s="191" t="s">
        <v>26</v>
      </c>
      <c r="B124" s="192"/>
      <c r="C124" s="192"/>
      <c r="D124" s="193"/>
      <c r="E124" s="17"/>
      <c r="F124" s="183" t="s">
        <v>11</v>
      </c>
      <c r="G124" s="184"/>
      <c r="H124" s="185"/>
    </row>
    <row r="125" spans="1:8" x14ac:dyDescent="0.3">
      <c r="A125" s="21" t="s">
        <v>21</v>
      </c>
      <c r="B125" s="22" t="s">
        <v>22</v>
      </c>
      <c r="C125" s="22" t="s">
        <v>23</v>
      </c>
      <c r="D125" s="23" t="s">
        <v>25</v>
      </c>
      <c r="E125" s="41"/>
      <c r="F125" s="186"/>
      <c r="G125" s="187"/>
      <c r="H125" s="188"/>
    </row>
    <row r="126" spans="1:8" x14ac:dyDescent="0.3">
      <c r="A126" s="100"/>
      <c r="B126" s="101"/>
      <c r="C126" s="101"/>
      <c r="D126" s="112">
        <v>15510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78" t="s">
        <v>27</v>
      </c>
      <c r="B141" s="179"/>
      <c r="C141" s="179"/>
      <c r="D141" s="96">
        <f>SUM(Demolition_62[Amount])</f>
        <v>15510</v>
      </c>
      <c r="E141" s="34"/>
      <c r="F141" s="173" t="s">
        <v>33</v>
      </c>
      <c r="G141" s="174"/>
      <c r="H141" s="174"/>
    </row>
    <row r="142" spans="1:8" x14ac:dyDescent="0.3">
      <c r="A142" s="38"/>
      <c r="B142" s="38"/>
      <c r="C142" s="38"/>
      <c r="D142" s="39"/>
      <c r="E142" s="40"/>
      <c r="F142" s="173"/>
      <c r="G142" s="174"/>
      <c r="H142" s="174"/>
    </row>
    <row r="143" spans="1:8" ht="17.399999999999999" x14ac:dyDescent="0.3">
      <c r="A143" s="191" t="s">
        <v>64</v>
      </c>
      <c r="B143" s="192"/>
      <c r="C143" s="192"/>
      <c r="D143" s="193"/>
      <c r="E143" s="17"/>
      <c r="F143" s="183" t="s">
        <v>44</v>
      </c>
      <c r="G143" s="184"/>
      <c r="H143" s="185"/>
    </row>
    <row r="144" spans="1:8" x14ac:dyDescent="0.3">
      <c r="A144" s="21" t="s">
        <v>21</v>
      </c>
      <c r="B144" s="22" t="s">
        <v>22</v>
      </c>
      <c r="C144" s="22" t="s">
        <v>23</v>
      </c>
      <c r="D144" s="23" t="s">
        <v>25</v>
      </c>
      <c r="E144" s="41"/>
      <c r="F144" s="186"/>
      <c r="G144" s="187"/>
      <c r="H144" s="188"/>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78" t="s">
        <v>65</v>
      </c>
      <c r="B160" s="179"/>
      <c r="C160" s="179"/>
      <c r="D160" s="96">
        <f>SUM(Rehab_62[Amount])</f>
        <v>0</v>
      </c>
      <c r="E160" s="34"/>
      <c r="F160" s="173" t="s">
        <v>33</v>
      </c>
      <c r="G160" s="174"/>
      <c r="H160" s="174"/>
    </row>
    <row r="161" spans="6:8" x14ac:dyDescent="0.3">
      <c r="F161" s="173"/>
      <c r="G161" s="174"/>
      <c r="H161" s="174"/>
    </row>
  </sheetData>
  <sheetProtection algorithmName="SHA-512" hashValue="1/dAmrAHBf/wNHrb3gcJzpP8PavAMGTq+td62ETxkUxWKADc1YpT9iC2x7WyaeTYXerQNsrxYXH1modVepuUHA==" saltValue="BM7WFlwZxeT2zoZdDMUcGA=="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pageSetUpPr fitToPage="1"/>
  </sheetPr>
  <dimension ref="A1:N161"/>
  <sheetViews>
    <sheetView showGridLines="0" zoomScaleNormal="100" workbookViewId="0">
      <pane ySplit="9" topLeftCell="A124"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5" t="s">
        <v>24</v>
      </c>
      <c r="B1" s="175"/>
      <c r="C1" s="175"/>
      <c r="D1" s="175"/>
      <c r="E1" s="1"/>
      <c r="F1" s="2"/>
      <c r="G1" s="2"/>
      <c r="H1" s="1"/>
    </row>
    <row r="2" spans="1:14" ht="24.9" customHeight="1" x14ac:dyDescent="0.3">
      <c r="A2" s="176" t="s">
        <v>71</v>
      </c>
      <c r="B2" s="176"/>
      <c r="C2" s="176"/>
      <c r="D2" s="176"/>
      <c r="E2" s="4"/>
      <c r="F2" s="120"/>
      <c r="G2" s="120"/>
      <c r="H2" s="5"/>
    </row>
    <row r="3" spans="1:14" ht="31.5" customHeight="1" x14ac:dyDescent="0.3">
      <c r="A3" s="176"/>
      <c r="B3" s="176"/>
      <c r="C3" s="176"/>
      <c r="D3" s="176"/>
      <c r="E3" s="4"/>
      <c r="F3" s="120"/>
      <c r="G3" s="120"/>
      <c r="H3" s="5"/>
    </row>
    <row r="4" spans="1:14" ht="15" customHeight="1" x14ac:dyDescent="0.25">
      <c r="A4" s="75" t="s">
        <v>19</v>
      </c>
      <c r="B4" s="194" t="str">
        <f>IF('Summary Sheet'!B95="","",'Summary Sheet'!B95)</f>
        <v>254 W 118TH ST</v>
      </c>
      <c r="C4" s="194"/>
      <c r="D4" s="120"/>
      <c r="E4" s="4"/>
      <c r="F4" s="120"/>
      <c r="G4" s="120"/>
      <c r="H4" s="5"/>
    </row>
    <row r="5" spans="1:14" ht="15" customHeight="1" x14ac:dyDescent="0.25">
      <c r="A5" s="75" t="s">
        <v>20</v>
      </c>
      <c r="B5" s="195" t="str">
        <f>IF('Summary Sheet'!C95="","",'Summary Sheet'!C95)</f>
        <v/>
      </c>
      <c r="C5" s="195"/>
      <c r="D5" s="120"/>
      <c r="E5" s="4"/>
      <c r="F5" s="120"/>
      <c r="G5" s="120"/>
      <c r="H5" s="5"/>
    </row>
    <row r="6" spans="1:14" ht="15" customHeight="1" x14ac:dyDescent="0.25">
      <c r="A6" s="75" t="s">
        <v>36</v>
      </c>
      <c r="B6" s="177"/>
      <c r="C6" s="177"/>
      <c r="D6" s="6"/>
      <c r="E6" s="7"/>
    </row>
    <row r="7" spans="1:14" ht="15" customHeight="1" x14ac:dyDescent="0.25">
      <c r="A7" s="7"/>
      <c r="B7" s="196" t="s">
        <v>34</v>
      </c>
      <c r="C7" s="196"/>
      <c r="D7" s="10"/>
    </row>
    <row r="8" spans="1:14" ht="20.100000000000001" customHeight="1" x14ac:dyDescent="0.25">
      <c r="B8" s="11"/>
      <c r="C8" s="11"/>
      <c r="D8" s="12" t="s">
        <v>31</v>
      </c>
      <c r="F8" s="180" t="s">
        <v>32</v>
      </c>
      <c r="G8" s="181"/>
      <c r="H8" s="182"/>
    </row>
    <row r="9" spans="1:14" s="14" customFormat="1" ht="20.100000000000001" customHeight="1" x14ac:dyDescent="0.25">
      <c r="A9" s="197"/>
      <c r="B9" s="197"/>
      <c r="C9" s="197"/>
      <c r="D9" s="13">
        <f>SUM(D27,D46,D65,D84,D103,D122,D141,D160)</f>
        <v>28510</v>
      </c>
      <c r="F9" s="15" t="s">
        <v>28</v>
      </c>
      <c r="G9" s="15" t="s">
        <v>29</v>
      </c>
      <c r="H9" s="15" t="s">
        <v>30</v>
      </c>
      <c r="I9" s="16"/>
      <c r="J9" s="16"/>
      <c r="K9" s="16"/>
      <c r="L9" s="16"/>
      <c r="M9" s="16"/>
      <c r="N9" s="16"/>
    </row>
    <row r="10" spans="1:14" s="17" customFormat="1" ht="23.1" customHeight="1" x14ac:dyDescent="0.3">
      <c r="A10" s="198" t="s">
        <v>51</v>
      </c>
      <c r="B10" s="198"/>
      <c r="C10" s="198"/>
      <c r="D10" s="198"/>
      <c r="F10" s="183" t="s">
        <v>66</v>
      </c>
      <c r="G10" s="184"/>
      <c r="H10" s="185"/>
      <c r="I10" s="18"/>
      <c r="J10" s="18"/>
      <c r="K10" s="18"/>
      <c r="L10" s="18"/>
      <c r="M10" s="19"/>
      <c r="N10" s="20"/>
    </row>
    <row r="11" spans="1:14" s="24" customFormat="1" ht="12.75" customHeight="1" x14ac:dyDescent="0.25">
      <c r="A11" s="21" t="s">
        <v>21</v>
      </c>
      <c r="B11" s="22" t="s">
        <v>22</v>
      </c>
      <c r="C11" s="22" t="s">
        <v>23</v>
      </c>
      <c r="D11" s="23" t="s">
        <v>25</v>
      </c>
      <c r="F11" s="186"/>
      <c r="G11" s="187"/>
      <c r="H11" s="188"/>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78" t="s">
        <v>53</v>
      </c>
      <c r="B27" s="179"/>
      <c r="C27" s="179"/>
      <c r="D27" s="96">
        <f>SUM(Grass_63[Amount])</f>
        <v>0</v>
      </c>
      <c r="F27" s="173" t="s">
        <v>33</v>
      </c>
      <c r="G27" s="174"/>
      <c r="H27" s="174"/>
      <c r="I27" s="35"/>
      <c r="J27" s="35"/>
      <c r="K27" s="35"/>
      <c r="L27" s="35"/>
      <c r="M27" s="36"/>
      <c r="N27" s="37"/>
    </row>
    <row r="28" spans="1:14" s="40" customFormat="1" ht="11.1" customHeight="1" x14ac:dyDescent="0.3">
      <c r="A28" s="38"/>
      <c r="B28" s="38"/>
      <c r="C28" s="38"/>
      <c r="D28" s="39"/>
      <c r="F28" s="173"/>
      <c r="G28" s="174"/>
      <c r="H28" s="174"/>
      <c r="I28" s="35"/>
      <c r="J28" s="35"/>
      <c r="K28" s="35"/>
      <c r="L28" s="35"/>
      <c r="M28" s="36"/>
      <c r="N28" s="37"/>
    </row>
    <row r="29" spans="1:14" s="17" customFormat="1" ht="23.1" customHeight="1" x14ac:dyDescent="0.3">
      <c r="A29" s="191" t="s">
        <v>67</v>
      </c>
      <c r="B29" s="192"/>
      <c r="C29" s="192"/>
      <c r="D29" s="193"/>
      <c r="F29" s="183" t="s">
        <v>52</v>
      </c>
      <c r="G29" s="184"/>
      <c r="H29" s="185"/>
      <c r="I29" s="18"/>
      <c r="J29" s="18"/>
      <c r="K29" s="18"/>
      <c r="L29" s="18"/>
      <c r="M29" s="19"/>
      <c r="N29" s="20"/>
    </row>
    <row r="30" spans="1:14" s="41" customFormat="1" ht="12.75" customHeight="1" x14ac:dyDescent="0.25">
      <c r="A30" s="21" t="s">
        <v>21</v>
      </c>
      <c r="B30" s="22" t="s">
        <v>22</v>
      </c>
      <c r="C30" s="22" t="s">
        <v>23</v>
      </c>
      <c r="D30" s="23" t="s">
        <v>25</v>
      </c>
      <c r="F30" s="186"/>
      <c r="G30" s="187"/>
      <c r="H30" s="188"/>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19"/>
      <c r="J44" s="29"/>
      <c r="K44" s="29"/>
      <c r="L44" s="119"/>
      <c r="M44" s="30"/>
      <c r="N44" s="16"/>
    </row>
    <row r="45" spans="1:14" x14ac:dyDescent="0.3">
      <c r="A45" s="106"/>
      <c r="B45" s="107"/>
      <c r="C45" s="107"/>
      <c r="D45" s="114"/>
      <c r="F45" s="103"/>
      <c r="G45" s="104"/>
      <c r="H45" s="109"/>
      <c r="I45" s="119"/>
      <c r="J45" s="29"/>
      <c r="K45" s="29"/>
      <c r="L45" s="119"/>
      <c r="M45" s="30"/>
      <c r="N45" s="16"/>
    </row>
    <row r="46" spans="1:14" s="34" customFormat="1" x14ac:dyDescent="0.3">
      <c r="A46" s="178" t="s">
        <v>54</v>
      </c>
      <c r="B46" s="179"/>
      <c r="C46" s="179"/>
      <c r="D46" s="96">
        <f>SUM(Tree_63[Amount])</f>
        <v>0</v>
      </c>
      <c r="F46" s="173" t="s">
        <v>33</v>
      </c>
      <c r="G46" s="174"/>
      <c r="H46" s="174"/>
      <c r="I46" s="43"/>
      <c r="J46" s="43"/>
      <c r="K46" s="43"/>
      <c r="L46" s="43"/>
      <c r="M46" s="36"/>
      <c r="N46" s="37"/>
    </row>
    <row r="47" spans="1:14" s="40" customFormat="1" ht="11.1" customHeight="1" x14ac:dyDescent="0.3">
      <c r="A47" s="38"/>
      <c r="B47" s="38"/>
      <c r="C47" s="38"/>
      <c r="D47" s="39"/>
      <c r="F47" s="173"/>
      <c r="G47" s="174"/>
      <c r="H47" s="174"/>
      <c r="I47" s="43"/>
      <c r="J47" s="43"/>
      <c r="K47" s="43"/>
      <c r="L47" s="43"/>
      <c r="M47" s="36"/>
      <c r="N47" s="37"/>
    </row>
    <row r="48" spans="1:14" s="17" customFormat="1" ht="23.1" customHeight="1" x14ac:dyDescent="0.3">
      <c r="A48" s="191" t="s">
        <v>68</v>
      </c>
      <c r="B48" s="192"/>
      <c r="C48" s="192"/>
      <c r="D48" s="193"/>
      <c r="F48" s="183" t="s">
        <v>55</v>
      </c>
      <c r="G48" s="184"/>
      <c r="H48" s="185"/>
      <c r="I48" s="44"/>
      <c r="J48" s="44"/>
      <c r="K48" s="44"/>
      <c r="L48" s="44"/>
      <c r="M48" s="19"/>
      <c r="N48" s="20"/>
    </row>
    <row r="49" spans="1:14" s="41" customFormat="1" ht="12.75" customHeight="1" x14ac:dyDescent="0.25">
      <c r="A49" s="21" t="s">
        <v>21</v>
      </c>
      <c r="B49" s="22" t="s">
        <v>22</v>
      </c>
      <c r="C49" s="22" t="s">
        <v>23</v>
      </c>
      <c r="D49" s="23" t="s">
        <v>25</v>
      </c>
      <c r="F49" s="186"/>
      <c r="G49" s="187"/>
      <c r="H49" s="188"/>
      <c r="I49" s="119"/>
      <c r="J49" s="119"/>
      <c r="K49" s="119"/>
      <c r="L49" s="119"/>
      <c r="M49" s="30"/>
      <c r="N49" s="42"/>
    </row>
    <row r="50" spans="1:14" x14ac:dyDescent="0.3">
      <c r="A50" s="100"/>
      <c r="B50" s="101"/>
      <c r="C50" s="101"/>
      <c r="D50" s="112"/>
      <c r="F50" s="103"/>
      <c r="G50" s="104"/>
      <c r="H50" s="109"/>
      <c r="I50" s="119"/>
      <c r="J50" s="119"/>
      <c r="K50" s="119"/>
      <c r="L50" s="119"/>
      <c r="M50" s="30"/>
      <c r="N50" s="16"/>
    </row>
    <row r="51" spans="1:14" x14ac:dyDescent="0.3">
      <c r="A51" s="106"/>
      <c r="B51" s="107"/>
      <c r="C51" s="107"/>
      <c r="D51" s="113"/>
      <c r="F51" s="103"/>
      <c r="G51" s="104"/>
      <c r="H51" s="109"/>
      <c r="I51" s="119"/>
      <c r="J51" s="119"/>
      <c r="K51" s="119"/>
      <c r="L51" s="119"/>
      <c r="M51" s="30"/>
      <c r="N51" s="16"/>
    </row>
    <row r="52" spans="1:14" x14ac:dyDescent="0.3">
      <c r="A52" s="106"/>
      <c r="B52" s="107"/>
      <c r="C52" s="107"/>
      <c r="D52" s="114"/>
      <c r="F52" s="103"/>
      <c r="H52" s="109"/>
      <c r="I52" s="119"/>
      <c r="J52" s="119"/>
      <c r="K52" s="119"/>
      <c r="L52" s="119"/>
      <c r="M52" s="30"/>
      <c r="N52" s="16"/>
    </row>
    <row r="53" spans="1:14" x14ac:dyDescent="0.3">
      <c r="A53" s="106"/>
      <c r="B53" s="107"/>
      <c r="C53" s="107"/>
      <c r="D53" s="113"/>
      <c r="F53" s="103"/>
      <c r="G53" s="104"/>
      <c r="H53" s="109"/>
      <c r="I53" s="119"/>
      <c r="J53" s="119"/>
      <c r="K53" s="119"/>
      <c r="L53" s="119"/>
      <c r="M53" s="30"/>
      <c r="N53" s="16"/>
    </row>
    <row r="54" spans="1:14" x14ac:dyDescent="0.3">
      <c r="A54" s="106"/>
      <c r="B54" s="107"/>
      <c r="C54" s="107"/>
      <c r="D54" s="114"/>
      <c r="F54" s="103"/>
      <c r="G54" s="104"/>
      <c r="H54" s="109"/>
      <c r="I54" s="119"/>
      <c r="J54" s="119"/>
      <c r="K54" s="119"/>
      <c r="L54" s="119"/>
      <c r="M54" s="30"/>
      <c r="N54" s="16"/>
    </row>
    <row r="55" spans="1:14" x14ac:dyDescent="0.3">
      <c r="A55" s="106"/>
      <c r="B55" s="107"/>
      <c r="C55" s="107"/>
      <c r="D55" s="113"/>
      <c r="F55" s="103"/>
      <c r="G55" s="104"/>
      <c r="H55" s="109"/>
      <c r="I55" s="119"/>
      <c r="J55" s="119"/>
      <c r="K55" s="119"/>
      <c r="L55" s="119"/>
      <c r="M55" s="30"/>
      <c r="N55" s="16"/>
    </row>
    <row r="56" spans="1:14" x14ac:dyDescent="0.3">
      <c r="A56" s="106"/>
      <c r="B56" s="107"/>
      <c r="C56" s="107"/>
      <c r="D56" s="114"/>
      <c r="F56" s="103"/>
      <c r="G56" s="104"/>
      <c r="H56" s="109"/>
      <c r="I56" s="119"/>
      <c r="J56" s="119"/>
      <c r="K56" s="119"/>
      <c r="L56" s="119"/>
      <c r="M56" s="30"/>
      <c r="N56" s="16"/>
    </row>
    <row r="57" spans="1:14" x14ac:dyDescent="0.3">
      <c r="A57" s="106"/>
      <c r="B57" s="107"/>
      <c r="C57" s="107"/>
      <c r="D57" s="113"/>
      <c r="F57" s="103"/>
      <c r="G57" s="104"/>
      <c r="H57" s="109"/>
      <c r="I57" s="119"/>
      <c r="J57" s="119"/>
      <c r="K57" s="119"/>
      <c r="L57" s="119"/>
      <c r="M57" s="30"/>
      <c r="N57" s="16"/>
    </row>
    <row r="58" spans="1:14" x14ac:dyDescent="0.3">
      <c r="A58" s="106"/>
      <c r="B58" s="107"/>
      <c r="C58" s="107"/>
      <c r="D58" s="114"/>
      <c r="F58" s="103"/>
      <c r="G58" s="104"/>
      <c r="H58" s="109"/>
      <c r="I58" s="119"/>
      <c r="J58" s="119"/>
      <c r="K58" s="119"/>
      <c r="L58" s="119"/>
      <c r="M58" s="30"/>
      <c r="N58" s="16"/>
    </row>
    <row r="59" spans="1:14" x14ac:dyDescent="0.3">
      <c r="A59" s="106"/>
      <c r="B59" s="107"/>
      <c r="C59" s="107"/>
      <c r="D59" s="113"/>
      <c r="F59" s="103"/>
      <c r="G59" s="104"/>
      <c r="H59" s="109"/>
      <c r="I59" s="119"/>
      <c r="J59" s="190"/>
      <c r="K59" s="190"/>
      <c r="L59" s="119"/>
      <c r="M59" s="30"/>
      <c r="N59" s="16"/>
    </row>
    <row r="60" spans="1:14" x14ac:dyDescent="0.3">
      <c r="A60" s="106"/>
      <c r="B60" s="107"/>
      <c r="C60" s="107"/>
      <c r="D60" s="114"/>
      <c r="F60" s="103"/>
      <c r="G60" s="104"/>
      <c r="H60" s="109"/>
      <c r="I60" s="189"/>
      <c r="J60" s="189"/>
      <c r="K60" s="189"/>
      <c r="L60" s="189"/>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78" t="s">
        <v>56</v>
      </c>
      <c r="B65" s="179"/>
      <c r="C65" s="179"/>
      <c r="D65" s="96">
        <f>SUM(Pest_63[Amount])</f>
        <v>0</v>
      </c>
      <c r="F65" s="173" t="s">
        <v>33</v>
      </c>
      <c r="G65" s="174"/>
      <c r="H65" s="174"/>
    </row>
    <row r="66" spans="1:8" x14ac:dyDescent="0.3">
      <c r="F66" s="173"/>
      <c r="G66" s="174"/>
      <c r="H66" s="174"/>
    </row>
    <row r="67" spans="1:8" ht="17.399999999999999" x14ac:dyDescent="0.3">
      <c r="A67" s="198" t="s">
        <v>69</v>
      </c>
      <c r="B67" s="198"/>
      <c r="C67" s="198"/>
      <c r="D67" s="198"/>
      <c r="E67" s="17"/>
      <c r="F67" s="183" t="s">
        <v>57</v>
      </c>
      <c r="G67" s="184"/>
      <c r="H67" s="185"/>
    </row>
    <row r="68" spans="1:8" x14ac:dyDescent="0.3">
      <c r="A68" s="21" t="s">
        <v>21</v>
      </c>
      <c r="B68" s="22" t="s">
        <v>22</v>
      </c>
      <c r="C68" s="22" t="s">
        <v>23</v>
      </c>
      <c r="D68" s="23" t="s">
        <v>25</v>
      </c>
      <c r="E68" s="24"/>
      <c r="F68" s="186"/>
      <c r="G68" s="187"/>
      <c r="H68" s="188"/>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78" t="s">
        <v>58</v>
      </c>
      <c r="B84" s="179"/>
      <c r="C84" s="179"/>
      <c r="D84" s="96">
        <f>SUM(Garbage_63[Amount])</f>
        <v>0</v>
      </c>
      <c r="E84" s="34"/>
      <c r="F84" s="173" t="s">
        <v>33</v>
      </c>
      <c r="G84" s="174"/>
      <c r="H84" s="174"/>
    </row>
    <row r="85" spans="1:8" x14ac:dyDescent="0.3">
      <c r="A85" s="38"/>
      <c r="B85" s="38"/>
      <c r="C85" s="38"/>
      <c r="D85" s="39"/>
      <c r="E85" s="40"/>
      <c r="F85" s="173"/>
      <c r="G85" s="174"/>
      <c r="H85" s="174"/>
    </row>
    <row r="86" spans="1:8" ht="17.399999999999999" x14ac:dyDescent="0.3">
      <c r="A86" s="191" t="s">
        <v>59</v>
      </c>
      <c r="B86" s="192"/>
      <c r="C86" s="192"/>
      <c r="D86" s="193"/>
      <c r="E86" s="17"/>
      <c r="F86" s="183" t="s">
        <v>60</v>
      </c>
      <c r="G86" s="184"/>
      <c r="H86" s="185"/>
    </row>
    <row r="87" spans="1:8" x14ac:dyDescent="0.3">
      <c r="A87" s="21" t="s">
        <v>21</v>
      </c>
      <c r="B87" s="22" t="s">
        <v>22</v>
      </c>
      <c r="C87" s="22" t="s">
        <v>23</v>
      </c>
      <c r="D87" s="23" t="s">
        <v>25</v>
      </c>
      <c r="E87" s="41"/>
      <c r="F87" s="186"/>
      <c r="G87" s="187"/>
      <c r="H87" s="188"/>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78" t="s">
        <v>61</v>
      </c>
      <c r="B103" s="179"/>
      <c r="C103" s="179"/>
      <c r="D103" s="96">
        <f>SUM(Boarding_63[Amount])</f>
        <v>0</v>
      </c>
      <c r="E103" s="34"/>
      <c r="F103" s="173" t="s">
        <v>33</v>
      </c>
      <c r="G103" s="174"/>
      <c r="H103" s="174"/>
    </row>
    <row r="104" spans="1:8" x14ac:dyDescent="0.3">
      <c r="A104" s="38"/>
      <c r="B104" s="38"/>
      <c r="C104" s="38"/>
      <c r="D104" s="39"/>
      <c r="E104" s="40"/>
      <c r="F104" s="173"/>
      <c r="G104" s="174"/>
      <c r="H104" s="174"/>
    </row>
    <row r="105" spans="1:8" ht="17.399999999999999" x14ac:dyDescent="0.3">
      <c r="A105" s="191" t="s">
        <v>70</v>
      </c>
      <c r="B105" s="192"/>
      <c r="C105" s="192"/>
      <c r="D105" s="193"/>
      <c r="E105" s="17"/>
      <c r="F105" s="183" t="s">
        <v>62</v>
      </c>
      <c r="G105" s="184"/>
      <c r="H105" s="185"/>
    </row>
    <row r="106" spans="1:8" x14ac:dyDescent="0.3">
      <c r="A106" s="21" t="s">
        <v>21</v>
      </c>
      <c r="B106" s="22" t="s">
        <v>22</v>
      </c>
      <c r="C106" s="22" t="s">
        <v>23</v>
      </c>
      <c r="D106" s="23" t="s">
        <v>25</v>
      </c>
      <c r="E106" s="41"/>
      <c r="F106" s="186"/>
      <c r="G106" s="187"/>
      <c r="H106" s="188"/>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78" t="s">
        <v>63</v>
      </c>
      <c r="B122" s="179"/>
      <c r="C122" s="179"/>
      <c r="D122" s="96">
        <f>SUM(Fence_63[Amount])</f>
        <v>0</v>
      </c>
      <c r="E122" s="34"/>
      <c r="F122" s="173" t="s">
        <v>33</v>
      </c>
      <c r="G122" s="174"/>
      <c r="H122" s="174"/>
    </row>
    <row r="123" spans="1:8" x14ac:dyDescent="0.3">
      <c r="F123" s="173"/>
      <c r="G123" s="174"/>
      <c r="H123" s="174"/>
    </row>
    <row r="124" spans="1:8" ht="17.399999999999999" x14ac:dyDescent="0.3">
      <c r="A124" s="191" t="s">
        <v>26</v>
      </c>
      <c r="B124" s="192"/>
      <c r="C124" s="192"/>
      <c r="D124" s="193"/>
      <c r="E124" s="17"/>
      <c r="F124" s="183" t="s">
        <v>11</v>
      </c>
      <c r="G124" s="184"/>
      <c r="H124" s="185"/>
    </row>
    <row r="125" spans="1:8" x14ac:dyDescent="0.3">
      <c r="A125" s="21" t="s">
        <v>21</v>
      </c>
      <c r="B125" s="22" t="s">
        <v>22</v>
      </c>
      <c r="C125" s="22" t="s">
        <v>23</v>
      </c>
      <c r="D125" s="23" t="s">
        <v>25</v>
      </c>
      <c r="E125" s="41"/>
      <c r="F125" s="186"/>
      <c r="G125" s="187"/>
      <c r="H125" s="188"/>
    </row>
    <row r="126" spans="1:8" x14ac:dyDescent="0.3">
      <c r="A126" s="100"/>
      <c r="B126" s="101"/>
      <c r="C126" s="101"/>
      <c r="D126" s="112">
        <v>28510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78" t="s">
        <v>27</v>
      </c>
      <c r="B141" s="179"/>
      <c r="C141" s="179"/>
      <c r="D141" s="96">
        <f>SUM(Demolition_63[Amount])</f>
        <v>28510</v>
      </c>
      <c r="E141" s="34"/>
      <c r="F141" s="173" t="s">
        <v>33</v>
      </c>
      <c r="G141" s="174"/>
      <c r="H141" s="174"/>
    </row>
    <row r="142" spans="1:8" x14ac:dyDescent="0.3">
      <c r="A142" s="38"/>
      <c r="B142" s="38"/>
      <c r="C142" s="38"/>
      <c r="D142" s="39"/>
      <c r="E142" s="40"/>
      <c r="F142" s="173"/>
      <c r="G142" s="174"/>
      <c r="H142" s="174"/>
    </row>
    <row r="143" spans="1:8" ht="17.399999999999999" x14ac:dyDescent="0.3">
      <c r="A143" s="191" t="s">
        <v>64</v>
      </c>
      <c r="B143" s="192"/>
      <c r="C143" s="192"/>
      <c r="D143" s="193"/>
      <c r="E143" s="17"/>
      <c r="F143" s="183" t="s">
        <v>44</v>
      </c>
      <c r="G143" s="184"/>
      <c r="H143" s="185"/>
    </row>
    <row r="144" spans="1:8" x14ac:dyDescent="0.3">
      <c r="A144" s="21" t="s">
        <v>21</v>
      </c>
      <c r="B144" s="22" t="s">
        <v>22</v>
      </c>
      <c r="C144" s="22" t="s">
        <v>23</v>
      </c>
      <c r="D144" s="23" t="s">
        <v>25</v>
      </c>
      <c r="E144" s="41"/>
      <c r="F144" s="186"/>
      <c r="G144" s="187"/>
      <c r="H144" s="188"/>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78" t="s">
        <v>65</v>
      </c>
      <c r="B160" s="179"/>
      <c r="C160" s="179"/>
      <c r="D160" s="96">
        <f>SUM(Rehab_63[Amount])</f>
        <v>0</v>
      </c>
      <c r="E160" s="34"/>
      <c r="F160" s="173" t="s">
        <v>33</v>
      </c>
      <c r="G160" s="174"/>
      <c r="H160" s="174"/>
    </row>
    <row r="161" spans="6:8" x14ac:dyDescent="0.3">
      <c r="F161" s="173"/>
      <c r="G161" s="174"/>
      <c r="H161" s="174"/>
    </row>
  </sheetData>
  <sheetProtection algorithmName="SHA-512" hashValue="CXdL6dat4S5ashvPnuz5owhfGW63pvBzL21TuXF7pQOisdsJqKVfXNz3yNAgBUMye28VbbD2zo5atL1Zh+ZRNg==" saltValue="r1F+yQxamoYdLiHWDvRPdQ=="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pageSetUpPr fitToPage="1"/>
  </sheetPr>
  <dimension ref="A1:N161"/>
  <sheetViews>
    <sheetView showGridLines="0" zoomScaleNormal="100" workbookViewId="0">
      <pane ySplit="9" topLeftCell="A121"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5" t="s">
        <v>24</v>
      </c>
      <c r="B1" s="175"/>
      <c r="C1" s="175"/>
      <c r="D1" s="175"/>
      <c r="E1" s="1"/>
      <c r="F1" s="2"/>
      <c r="G1" s="2"/>
      <c r="H1" s="1"/>
    </row>
    <row r="2" spans="1:14" ht="24.9" customHeight="1" x14ac:dyDescent="0.3">
      <c r="A2" s="176" t="s">
        <v>71</v>
      </c>
      <c r="B2" s="176"/>
      <c r="C2" s="176"/>
      <c r="D2" s="176"/>
      <c r="E2" s="4"/>
      <c r="F2" s="120"/>
      <c r="G2" s="120"/>
      <c r="H2" s="5"/>
    </row>
    <row r="3" spans="1:14" ht="31.5" customHeight="1" x14ac:dyDescent="0.3">
      <c r="A3" s="176"/>
      <c r="B3" s="176"/>
      <c r="C3" s="176"/>
      <c r="D3" s="176"/>
      <c r="E3" s="4"/>
      <c r="F3" s="120"/>
      <c r="G3" s="120"/>
      <c r="H3" s="5"/>
    </row>
    <row r="4" spans="1:14" ht="15" customHeight="1" x14ac:dyDescent="0.25">
      <c r="A4" s="75" t="s">
        <v>19</v>
      </c>
      <c r="B4" s="194" t="str">
        <f>IF('Summary Sheet'!B96="","",'Summary Sheet'!B96)</f>
        <v>2553 W HUTCHINSON ST</v>
      </c>
      <c r="C4" s="194"/>
      <c r="D4" s="120"/>
      <c r="E4" s="4"/>
      <c r="F4" s="120"/>
      <c r="G4" s="120"/>
      <c r="H4" s="5"/>
    </row>
    <row r="5" spans="1:14" ht="15" customHeight="1" x14ac:dyDescent="0.25">
      <c r="A5" s="75" t="s">
        <v>20</v>
      </c>
      <c r="B5" s="195" t="str">
        <f>IF('Summary Sheet'!C96="","",'Summary Sheet'!C96)</f>
        <v/>
      </c>
      <c r="C5" s="195"/>
      <c r="D5" s="120"/>
      <c r="E5" s="4"/>
      <c r="F5" s="120"/>
      <c r="G5" s="120"/>
      <c r="H5" s="5"/>
    </row>
    <row r="6" spans="1:14" ht="15" customHeight="1" x14ac:dyDescent="0.25">
      <c r="A6" s="75" t="s">
        <v>36</v>
      </c>
      <c r="B6" s="177"/>
      <c r="C6" s="177"/>
      <c r="D6" s="6"/>
      <c r="E6" s="7"/>
    </row>
    <row r="7" spans="1:14" ht="15" customHeight="1" x14ac:dyDescent="0.25">
      <c r="A7" s="7"/>
      <c r="B7" s="196" t="s">
        <v>34</v>
      </c>
      <c r="C7" s="196"/>
      <c r="D7" s="10"/>
    </row>
    <row r="8" spans="1:14" ht="20.100000000000001" customHeight="1" x14ac:dyDescent="0.25">
      <c r="B8" s="11"/>
      <c r="C8" s="11"/>
      <c r="D8" s="12" t="s">
        <v>31</v>
      </c>
      <c r="F8" s="180" t="s">
        <v>32</v>
      </c>
      <c r="G8" s="181"/>
      <c r="H8" s="182"/>
    </row>
    <row r="9" spans="1:14" s="14" customFormat="1" ht="20.100000000000001" customHeight="1" x14ac:dyDescent="0.25">
      <c r="A9" s="197"/>
      <c r="B9" s="197"/>
      <c r="C9" s="197"/>
      <c r="D9" s="13">
        <f>SUM(D27,D46,D65,D84,D103,D122,D141,D160)</f>
        <v>26200</v>
      </c>
      <c r="F9" s="15" t="s">
        <v>28</v>
      </c>
      <c r="G9" s="15" t="s">
        <v>29</v>
      </c>
      <c r="H9" s="15" t="s">
        <v>30</v>
      </c>
      <c r="I9" s="16"/>
      <c r="J9" s="16"/>
      <c r="K9" s="16"/>
      <c r="L9" s="16"/>
      <c r="M9" s="16"/>
      <c r="N9" s="16"/>
    </row>
    <row r="10" spans="1:14" s="17" customFormat="1" ht="23.1" customHeight="1" x14ac:dyDescent="0.3">
      <c r="A10" s="198" t="s">
        <v>51</v>
      </c>
      <c r="B10" s="198"/>
      <c r="C10" s="198"/>
      <c r="D10" s="198"/>
      <c r="F10" s="183" t="s">
        <v>66</v>
      </c>
      <c r="G10" s="184"/>
      <c r="H10" s="185"/>
      <c r="I10" s="18"/>
      <c r="J10" s="18"/>
      <c r="K10" s="18"/>
      <c r="L10" s="18"/>
      <c r="M10" s="19"/>
      <c r="N10" s="20"/>
    </row>
    <row r="11" spans="1:14" s="24" customFormat="1" ht="12.75" customHeight="1" x14ac:dyDescent="0.25">
      <c r="A11" s="21" t="s">
        <v>21</v>
      </c>
      <c r="B11" s="22" t="s">
        <v>22</v>
      </c>
      <c r="C11" s="22" t="s">
        <v>23</v>
      </c>
      <c r="D11" s="23" t="s">
        <v>25</v>
      </c>
      <c r="F11" s="186"/>
      <c r="G11" s="187"/>
      <c r="H11" s="188"/>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78" t="s">
        <v>53</v>
      </c>
      <c r="B27" s="179"/>
      <c r="C27" s="179"/>
      <c r="D27" s="96">
        <f>SUM(Grass_64[Amount])</f>
        <v>0</v>
      </c>
      <c r="F27" s="173" t="s">
        <v>33</v>
      </c>
      <c r="G27" s="174"/>
      <c r="H27" s="174"/>
      <c r="I27" s="35"/>
      <c r="J27" s="35"/>
      <c r="K27" s="35"/>
      <c r="L27" s="35"/>
      <c r="M27" s="36"/>
      <c r="N27" s="37"/>
    </row>
    <row r="28" spans="1:14" s="40" customFormat="1" ht="11.1" customHeight="1" x14ac:dyDescent="0.3">
      <c r="A28" s="38"/>
      <c r="B28" s="38"/>
      <c r="C28" s="38"/>
      <c r="D28" s="39"/>
      <c r="F28" s="173"/>
      <c r="G28" s="174"/>
      <c r="H28" s="174"/>
      <c r="I28" s="35"/>
      <c r="J28" s="35"/>
      <c r="K28" s="35"/>
      <c r="L28" s="35"/>
      <c r="M28" s="36"/>
      <c r="N28" s="37"/>
    </row>
    <row r="29" spans="1:14" s="17" customFormat="1" ht="23.1" customHeight="1" x14ac:dyDescent="0.3">
      <c r="A29" s="191" t="s">
        <v>67</v>
      </c>
      <c r="B29" s="192"/>
      <c r="C29" s="192"/>
      <c r="D29" s="193"/>
      <c r="F29" s="183" t="s">
        <v>52</v>
      </c>
      <c r="G29" s="184"/>
      <c r="H29" s="185"/>
      <c r="I29" s="18"/>
      <c r="J29" s="18"/>
      <c r="K29" s="18"/>
      <c r="L29" s="18"/>
      <c r="M29" s="19"/>
      <c r="N29" s="20"/>
    </row>
    <row r="30" spans="1:14" s="41" customFormat="1" ht="12.75" customHeight="1" x14ac:dyDescent="0.25">
      <c r="A30" s="21" t="s">
        <v>21</v>
      </c>
      <c r="B30" s="22" t="s">
        <v>22</v>
      </c>
      <c r="C30" s="22" t="s">
        <v>23</v>
      </c>
      <c r="D30" s="23" t="s">
        <v>25</v>
      </c>
      <c r="F30" s="186"/>
      <c r="G30" s="187"/>
      <c r="H30" s="188"/>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19"/>
      <c r="J44" s="29"/>
      <c r="K44" s="29"/>
      <c r="L44" s="119"/>
      <c r="M44" s="30"/>
      <c r="N44" s="16"/>
    </row>
    <row r="45" spans="1:14" x14ac:dyDescent="0.3">
      <c r="A45" s="106"/>
      <c r="B45" s="107"/>
      <c r="C45" s="107"/>
      <c r="D45" s="114"/>
      <c r="F45" s="103"/>
      <c r="G45" s="104"/>
      <c r="H45" s="109"/>
      <c r="I45" s="119"/>
      <c r="J45" s="29"/>
      <c r="K45" s="29"/>
      <c r="L45" s="119"/>
      <c r="M45" s="30"/>
      <c r="N45" s="16"/>
    </row>
    <row r="46" spans="1:14" s="34" customFormat="1" x14ac:dyDescent="0.3">
      <c r="A46" s="178" t="s">
        <v>54</v>
      </c>
      <c r="B46" s="179"/>
      <c r="C46" s="179"/>
      <c r="D46" s="96">
        <f>SUM(Tree_64[Amount])</f>
        <v>0</v>
      </c>
      <c r="F46" s="173" t="s">
        <v>33</v>
      </c>
      <c r="G46" s="174"/>
      <c r="H46" s="174"/>
      <c r="I46" s="43"/>
      <c r="J46" s="43"/>
      <c r="K46" s="43"/>
      <c r="L46" s="43"/>
      <c r="M46" s="36"/>
      <c r="N46" s="37"/>
    </row>
    <row r="47" spans="1:14" s="40" customFormat="1" ht="11.1" customHeight="1" x14ac:dyDescent="0.3">
      <c r="A47" s="38"/>
      <c r="B47" s="38"/>
      <c r="C47" s="38"/>
      <c r="D47" s="39"/>
      <c r="F47" s="173"/>
      <c r="G47" s="174"/>
      <c r="H47" s="174"/>
      <c r="I47" s="43"/>
      <c r="J47" s="43"/>
      <c r="K47" s="43"/>
      <c r="L47" s="43"/>
      <c r="M47" s="36"/>
      <c r="N47" s="37"/>
    </row>
    <row r="48" spans="1:14" s="17" customFormat="1" ht="23.1" customHeight="1" x14ac:dyDescent="0.3">
      <c r="A48" s="191" t="s">
        <v>68</v>
      </c>
      <c r="B48" s="192"/>
      <c r="C48" s="192"/>
      <c r="D48" s="193"/>
      <c r="F48" s="183" t="s">
        <v>55</v>
      </c>
      <c r="G48" s="184"/>
      <c r="H48" s="185"/>
      <c r="I48" s="44"/>
      <c r="J48" s="44"/>
      <c r="K48" s="44"/>
      <c r="L48" s="44"/>
      <c r="M48" s="19"/>
      <c r="N48" s="20"/>
    </row>
    <row r="49" spans="1:14" s="41" customFormat="1" ht="12.75" customHeight="1" x14ac:dyDescent="0.25">
      <c r="A49" s="21" t="s">
        <v>21</v>
      </c>
      <c r="B49" s="22" t="s">
        <v>22</v>
      </c>
      <c r="C49" s="22" t="s">
        <v>23</v>
      </c>
      <c r="D49" s="23" t="s">
        <v>25</v>
      </c>
      <c r="F49" s="186"/>
      <c r="G49" s="187"/>
      <c r="H49" s="188"/>
      <c r="I49" s="119"/>
      <c r="J49" s="119"/>
      <c r="K49" s="119"/>
      <c r="L49" s="119"/>
      <c r="M49" s="30"/>
      <c r="N49" s="42"/>
    </row>
    <row r="50" spans="1:14" x14ac:dyDescent="0.3">
      <c r="A50" s="100"/>
      <c r="B50" s="101"/>
      <c r="C50" s="101"/>
      <c r="D50" s="112"/>
      <c r="F50" s="103"/>
      <c r="G50" s="104"/>
      <c r="H50" s="109"/>
      <c r="I50" s="119"/>
      <c r="J50" s="119"/>
      <c r="K50" s="119"/>
      <c r="L50" s="119"/>
      <c r="M50" s="30"/>
      <c r="N50" s="16"/>
    </row>
    <row r="51" spans="1:14" x14ac:dyDescent="0.3">
      <c r="A51" s="106"/>
      <c r="B51" s="107"/>
      <c r="C51" s="107"/>
      <c r="D51" s="113"/>
      <c r="F51" s="103"/>
      <c r="G51" s="104"/>
      <c r="H51" s="109"/>
      <c r="I51" s="119"/>
      <c r="J51" s="119"/>
      <c r="K51" s="119"/>
      <c r="L51" s="119"/>
      <c r="M51" s="30"/>
      <c r="N51" s="16"/>
    </row>
    <row r="52" spans="1:14" x14ac:dyDescent="0.3">
      <c r="A52" s="106"/>
      <c r="B52" s="107"/>
      <c r="C52" s="107"/>
      <c r="D52" s="114"/>
      <c r="F52" s="103"/>
      <c r="H52" s="109"/>
      <c r="I52" s="119"/>
      <c r="J52" s="119"/>
      <c r="K52" s="119"/>
      <c r="L52" s="119"/>
      <c r="M52" s="30"/>
      <c r="N52" s="16"/>
    </row>
    <row r="53" spans="1:14" x14ac:dyDescent="0.3">
      <c r="A53" s="106"/>
      <c r="B53" s="107"/>
      <c r="C53" s="107"/>
      <c r="D53" s="113"/>
      <c r="F53" s="103"/>
      <c r="G53" s="104"/>
      <c r="H53" s="109"/>
      <c r="I53" s="119"/>
      <c r="J53" s="119"/>
      <c r="K53" s="119"/>
      <c r="L53" s="119"/>
      <c r="M53" s="30"/>
      <c r="N53" s="16"/>
    </row>
    <row r="54" spans="1:14" x14ac:dyDescent="0.3">
      <c r="A54" s="106"/>
      <c r="B54" s="107"/>
      <c r="C54" s="107"/>
      <c r="D54" s="114"/>
      <c r="F54" s="103"/>
      <c r="G54" s="104"/>
      <c r="H54" s="109"/>
      <c r="I54" s="119"/>
      <c r="J54" s="119"/>
      <c r="K54" s="119"/>
      <c r="L54" s="119"/>
      <c r="M54" s="30"/>
      <c r="N54" s="16"/>
    </row>
    <row r="55" spans="1:14" x14ac:dyDescent="0.3">
      <c r="A55" s="106"/>
      <c r="B55" s="107"/>
      <c r="C55" s="107"/>
      <c r="D55" s="113"/>
      <c r="F55" s="103"/>
      <c r="G55" s="104"/>
      <c r="H55" s="109"/>
      <c r="I55" s="119"/>
      <c r="J55" s="119"/>
      <c r="K55" s="119"/>
      <c r="L55" s="119"/>
      <c r="M55" s="30"/>
      <c r="N55" s="16"/>
    </row>
    <row r="56" spans="1:14" x14ac:dyDescent="0.3">
      <c r="A56" s="106"/>
      <c r="B56" s="107"/>
      <c r="C56" s="107"/>
      <c r="D56" s="114"/>
      <c r="F56" s="103"/>
      <c r="G56" s="104"/>
      <c r="H56" s="109"/>
      <c r="I56" s="119"/>
      <c r="J56" s="119"/>
      <c r="K56" s="119"/>
      <c r="L56" s="119"/>
      <c r="M56" s="30"/>
      <c r="N56" s="16"/>
    </row>
    <row r="57" spans="1:14" x14ac:dyDescent="0.3">
      <c r="A57" s="106"/>
      <c r="B57" s="107"/>
      <c r="C57" s="107"/>
      <c r="D57" s="113"/>
      <c r="F57" s="103"/>
      <c r="G57" s="104"/>
      <c r="H57" s="109"/>
      <c r="I57" s="119"/>
      <c r="J57" s="119"/>
      <c r="K57" s="119"/>
      <c r="L57" s="119"/>
      <c r="M57" s="30"/>
      <c r="N57" s="16"/>
    </row>
    <row r="58" spans="1:14" x14ac:dyDescent="0.3">
      <c r="A58" s="106"/>
      <c r="B58" s="107"/>
      <c r="C58" s="107"/>
      <c r="D58" s="114"/>
      <c r="F58" s="103"/>
      <c r="G58" s="104"/>
      <c r="H58" s="109"/>
      <c r="I58" s="119"/>
      <c r="J58" s="119"/>
      <c r="K58" s="119"/>
      <c r="L58" s="119"/>
      <c r="M58" s="30"/>
      <c r="N58" s="16"/>
    </row>
    <row r="59" spans="1:14" x14ac:dyDescent="0.3">
      <c r="A59" s="106"/>
      <c r="B59" s="107"/>
      <c r="C59" s="107"/>
      <c r="D59" s="113"/>
      <c r="F59" s="103"/>
      <c r="G59" s="104"/>
      <c r="H59" s="109"/>
      <c r="I59" s="119"/>
      <c r="J59" s="190"/>
      <c r="K59" s="190"/>
      <c r="L59" s="119"/>
      <c r="M59" s="30"/>
      <c r="N59" s="16"/>
    </row>
    <row r="60" spans="1:14" x14ac:dyDescent="0.3">
      <c r="A60" s="106"/>
      <c r="B60" s="107"/>
      <c r="C60" s="107"/>
      <c r="D60" s="114"/>
      <c r="F60" s="103"/>
      <c r="G60" s="104"/>
      <c r="H60" s="109"/>
      <c r="I60" s="189"/>
      <c r="J60" s="189"/>
      <c r="K60" s="189"/>
      <c r="L60" s="189"/>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78" t="s">
        <v>56</v>
      </c>
      <c r="B65" s="179"/>
      <c r="C65" s="179"/>
      <c r="D65" s="96">
        <f>SUM(Pest_64[Amount])</f>
        <v>0</v>
      </c>
      <c r="F65" s="173" t="s">
        <v>33</v>
      </c>
      <c r="G65" s="174"/>
      <c r="H65" s="174"/>
    </row>
    <row r="66" spans="1:8" x14ac:dyDescent="0.3">
      <c r="F66" s="173"/>
      <c r="G66" s="174"/>
      <c r="H66" s="174"/>
    </row>
    <row r="67" spans="1:8" ht="17.399999999999999" x14ac:dyDescent="0.3">
      <c r="A67" s="198" t="s">
        <v>69</v>
      </c>
      <c r="B67" s="198"/>
      <c r="C67" s="198"/>
      <c r="D67" s="198"/>
      <c r="E67" s="17"/>
      <c r="F67" s="183" t="s">
        <v>57</v>
      </c>
      <c r="G67" s="184"/>
      <c r="H67" s="185"/>
    </row>
    <row r="68" spans="1:8" x14ac:dyDescent="0.3">
      <c r="A68" s="21" t="s">
        <v>21</v>
      </c>
      <c r="B68" s="22" t="s">
        <v>22</v>
      </c>
      <c r="C68" s="22" t="s">
        <v>23</v>
      </c>
      <c r="D68" s="23" t="s">
        <v>25</v>
      </c>
      <c r="E68" s="24"/>
      <c r="F68" s="186"/>
      <c r="G68" s="187"/>
      <c r="H68" s="188"/>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78" t="s">
        <v>58</v>
      </c>
      <c r="B84" s="179"/>
      <c r="C84" s="179"/>
      <c r="D84" s="96">
        <f>SUM(Garbage_64[Amount])</f>
        <v>0</v>
      </c>
      <c r="E84" s="34"/>
      <c r="F84" s="173" t="s">
        <v>33</v>
      </c>
      <c r="G84" s="174"/>
      <c r="H84" s="174"/>
    </row>
    <row r="85" spans="1:8" x14ac:dyDescent="0.3">
      <c r="A85" s="38"/>
      <c r="B85" s="38"/>
      <c r="C85" s="38"/>
      <c r="D85" s="39"/>
      <c r="E85" s="40"/>
      <c r="F85" s="173"/>
      <c r="G85" s="174"/>
      <c r="H85" s="174"/>
    </row>
    <row r="86" spans="1:8" ht="17.399999999999999" x14ac:dyDescent="0.3">
      <c r="A86" s="191" t="s">
        <v>59</v>
      </c>
      <c r="B86" s="192"/>
      <c r="C86" s="192"/>
      <c r="D86" s="193"/>
      <c r="E86" s="17"/>
      <c r="F86" s="183" t="s">
        <v>60</v>
      </c>
      <c r="G86" s="184"/>
      <c r="H86" s="185"/>
    </row>
    <row r="87" spans="1:8" x14ac:dyDescent="0.3">
      <c r="A87" s="21" t="s">
        <v>21</v>
      </c>
      <c r="B87" s="22" t="s">
        <v>22</v>
      </c>
      <c r="C87" s="22" t="s">
        <v>23</v>
      </c>
      <c r="D87" s="23" t="s">
        <v>25</v>
      </c>
      <c r="E87" s="41"/>
      <c r="F87" s="186"/>
      <c r="G87" s="187"/>
      <c r="H87" s="188"/>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78" t="s">
        <v>61</v>
      </c>
      <c r="B103" s="179"/>
      <c r="C103" s="179"/>
      <c r="D103" s="96">
        <f>SUM(Boarding_64[Amount])</f>
        <v>0</v>
      </c>
      <c r="E103" s="34"/>
      <c r="F103" s="173" t="s">
        <v>33</v>
      </c>
      <c r="G103" s="174"/>
      <c r="H103" s="174"/>
    </row>
    <row r="104" spans="1:8" x14ac:dyDescent="0.3">
      <c r="A104" s="38"/>
      <c r="B104" s="38"/>
      <c r="C104" s="38"/>
      <c r="D104" s="39"/>
      <c r="E104" s="40"/>
      <c r="F104" s="173"/>
      <c r="G104" s="174"/>
      <c r="H104" s="174"/>
    </row>
    <row r="105" spans="1:8" ht="17.399999999999999" x14ac:dyDescent="0.3">
      <c r="A105" s="191" t="s">
        <v>70</v>
      </c>
      <c r="B105" s="192"/>
      <c r="C105" s="192"/>
      <c r="D105" s="193"/>
      <c r="E105" s="17"/>
      <c r="F105" s="183" t="s">
        <v>62</v>
      </c>
      <c r="G105" s="184"/>
      <c r="H105" s="185"/>
    </row>
    <row r="106" spans="1:8" x14ac:dyDescent="0.3">
      <c r="A106" s="21" t="s">
        <v>21</v>
      </c>
      <c r="B106" s="22" t="s">
        <v>22</v>
      </c>
      <c r="C106" s="22" t="s">
        <v>23</v>
      </c>
      <c r="D106" s="23" t="s">
        <v>25</v>
      </c>
      <c r="E106" s="41"/>
      <c r="F106" s="186"/>
      <c r="G106" s="187"/>
      <c r="H106" s="188"/>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78" t="s">
        <v>63</v>
      </c>
      <c r="B122" s="179"/>
      <c r="C122" s="179"/>
      <c r="D122" s="96">
        <f>SUM(Fence_64[Amount])</f>
        <v>0</v>
      </c>
      <c r="E122" s="34"/>
      <c r="F122" s="173" t="s">
        <v>33</v>
      </c>
      <c r="G122" s="174"/>
      <c r="H122" s="174"/>
    </row>
    <row r="123" spans="1:8" x14ac:dyDescent="0.3">
      <c r="F123" s="173"/>
      <c r="G123" s="174"/>
      <c r="H123" s="174"/>
    </row>
    <row r="124" spans="1:8" ht="17.399999999999999" x14ac:dyDescent="0.3">
      <c r="A124" s="191" t="s">
        <v>26</v>
      </c>
      <c r="B124" s="192"/>
      <c r="C124" s="192"/>
      <c r="D124" s="193"/>
      <c r="E124" s="17"/>
      <c r="F124" s="183" t="s">
        <v>11</v>
      </c>
      <c r="G124" s="184"/>
      <c r="H124" s="185"/>
    </row>
    <row r="125" spans="1:8" x14ac:dyDescent="0.3">
      <c r="A125" s="21" t="s">
        <v>21</v>
      </c>
      <c r="B125" s="22" t="s">
        <v>22</v>
      </c>
      <c r="C125" s="22" t="s">
        <v>23</v>
      </c>
      <c r="D125" s="23" t="s">
        <v>25</v>
      </c>
      <c r="E125" s="41"/>
      <c r="F125" s="186"/>
      <c r="G125" s="187"/>
      <c r="H125" s="188"/>
    </row>
    <row r="126" spans="1:8" x14ac:dyDescent="0.3">
      <c r="A126" s="100"/>
      <c r="B126" s="101"/>
      <c r="C126" s="101"/>
      <c r="D126" s="112">
        <v>26200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78" t="s">
        <v>27</v>
      </c>
      <c r="B141" s="179"/>
      <c r="C141" s="179"/>
      <c r="D141" s="96">
        <f>SUM(Demolition_64[Amount])</f>
        <v>26200</v>
      </c>
      <c r="E141" s="34"/>
      <c r="F141" s="173" t="s">
        <v>33</v>
      </c>
      <c r="G141" s="174"/>
      <c r="H141" s="174"/>
    </row>
    <row r="142" spans="1:8" x14ac:dyDescent="0.3">
      <c r="A142" s="38"/>
      <c r="B142" s="38"/>
      <c r="C142" s="38"/>
      <c r="D142" s="39"/>
      <c r="E142" s="40"/>
      <c r="F142" s="173"/>
      <c r="G142" s="174"/>
      <c r="H142" s="174"/>
    </row>
    <row r="143" spans="1:8" ht="17.399999999999999" x14ac:dyDescent="0.3">
      <c r="A143" s="191" t="s">
        <v>64</v>
      </c>
      <c r="B143" s="192"/>
      <c r="C143" s="192"/>
      <c r="D143" s="193"/>
      <c r="E143" s="17"/>
      <c r="F143" s="183" t="s">
        <v>44</v>
      </c>
      <c r="G143" s="184"/>
      <c r="H143" s="185"/>
    </row>
    <row r="144" spans="1:8" x14ac:dyDescent="0.3">
      <c r="A144" s="21" t="s">
        <v>21</v>
      </c>
      <c r="B144" s="22" t="s">
        <v>22</v>
      </c>
      <c r="C144" s="22" t="s">
        <v>23</v>
      </c>
      <c r="D144" s="23" t="s">
        <v>25</v>
      </c>
      <c r="E144" s="41"/>
      <c r="F144" s="186"/>
      <c r="G144" s="187"/>
      <c r="H144" s="188"/>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78" t="s">
        <v>65</v>
      </c>
      <c r="B160" s="179"/>
      <c r="C160" s="179"/>
      <c r="D160" s="96">
        <f>SUM(Rehab_64[Amount])</f>
        <v>0</v>
      </c>
      <c r="E160" s="34"/>
      <c r="F160" s="173" t="s">
        <v>33</v>
      </c>
      <c r="G160" s="174"/>
      <c r="H160" s="174"/>
    </row>
    <row r="161" spans="6:8" x14ac:dyDescent="0.3">
      <c r="F161" s="173"/>
      <c r="G161" s="174"/>
      <c r="H161" s="174"/>
    </row>
  </sheetData>
  <sheetProtection algorithmName="SHA-512" hashValue="5hm0m0LYDVCzYX4PdzbCKynEPUfeSagfIFU19bVd3+KHeb+SU6i4LKm0rvGeqFMwkkwe8ttgMGoBiTqW5GqIeg==" saltValue="jsO+C/KhP9gxgwEuc3GXyw=="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pageSetUpPr fitToPage="1"/>
  </sheetPr>
  <dimension ref="A1:N161"/>
  <sheetViews>
    <sheetView showGridLines="0" zoomScaleNormal="100" workbookViewId="0">
      <pane ySplit="9" topLeftCell="A127" activePane="bottomLeft" state="frozen"/>
      <selection activeCell="F10" sqref="F10:H11"/>
      <selection pane="bottomLeft" activeCell="B6" sqref="B6:C6"/>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5" t="s">
        <v>24</v>
      </c>
      <c r="B1" s="175"/>
      <c r="C1" s="175"/>
      <c r="D1" s="175"/>
      <c r="E1" s="1"/>
      <c r="F1" s="2"/>
      <c r="G1" s="2"/>
      <c r="H1" s="1"/>
    </row>
    <row r="2" spans="1:14" ht="24.9" customHeight="1" x14ac:dyDescent="0.3">
      <c r="A2" s="176" t="s">
        <v>71</v>
      </c>
      <c r="B2" s="176"/>
      <c r="C2" s="176"/>
      <c r="D2" s="176"/>
      <c r="E2" s="4"/>
      <c r="F2" s="120"/>
      <c r="G2" s="120"/>
      <c r="H2" s="5"/>
    </row>
    <row r="3" spans="1:14" ht="31.5" customHeight="1" x14ac:dyDescent="0.3">
      <c r="A3" s="176"/>
      <c r="B3" s="176"/>
      <c r="C3" s="176"/>
      <c r="D3" s="176"/>
      <c r="E3" s="4"/>
      <c r="F3" s="120"/>
      <c r="G3" s="120"/>
      <c r="H3" s="5"/>
    </row>
    <row r="4" spans="1:14" ht="15" customHeight="1" x14ac:dyDescent="0.25">
      <c r="A4" s="75" t="s">
        <v>19</v>
      </c>
      <c r="B4" s="194" t="str">
        <f>IF('Summary Sheet'!B97="","",'Summary Sheet'!B97)</f>
        <v>259 W 105TH ST</v>
      </c>
      <c r="C4" s="194"/>
      <c r="D4" s="120"/>
      <c r="E4" s="4"/>
      <c r="F4" s="120"/>
      <c r="G4" s="120"/>
      <c r="H4" s="5"/>
    </row>
    <row r="5" spans="1:14" ht="15" customHeight="1" x14ac:dyDescent="0.25">
      <c r="A5" s="75" t="s">
        <v>20</v>
      </c>
      <c r="B5" s="195" t="str">
        <f>IF('Summary Sheet'!C97="","",'Summary Sheet'!C97)</f>
        <v>25-16-210-022-0000</v>
      </c>
      <c r="C5" s="195"/>
      <c r="D5" s="120"/>
      <c r="E5" s="4"/>
      <c r="F5" s="120"/>
      <c r="G5" s="120"/>
      <c r="H5" s="5"/>
    </row>
    <row r="6" spans="1:14" ht="15" customHeight="1" x14ac:dyDescent="0.25">
      <c r="A6" s="75" t="s">
        <v>36</v>
      </c>
      <c r="B6" s="177">
        <v>1</v>
      </c>
      <c r="C6" s="177"/>
      <c r="D6" s="6"/>
      <c r="E6" s="7"/>
    </row>
    <row r="7" spans="1:14" ht="15" customHeight="1" x14ac:dyDescent="0.25">
      <c r="A7" s="7"/>
      <c r="B7" s="196" t="s">
        <v>34</v>
      </c>
      <c r="C7" s="196"/>
      <c r="D7" s="10"/>
    </row>
    <row r="8" spans="1:14" ht="20.100000000000001" customHeight="1" x14ac:dyDescent="0.25">
      <c r="B8" s="11"/>
      <c r="C8" s="11"/>
      <c r="D8" s="12" t="s">
        <v>31</v>
      </c>
      <c r="F8" s="180" t="s">
        <v>32</v>
      </c>
      <c r="G8" s="181"/>
      <c r="H8" s="182"/>
    </row>
    <row r="9" spans="1:14" s="14" customFormat="1" ht="20.100000000000001" customHeight="1" x14ac:dyDescent="0.25">
      <c r="A9" s="197"/>
      <c r="B9" s="197"/>
      <c r="C9" s="197"/>
      <c r="D9" s="13">
        <f>SUM(D27,D46,D65,D84,D103,D122,D141,D160)</f>
        <v>15710</v>
      </c>
      <c r="F9" s="15" t="s">
        <v>28</v>
      </c>
      <c r="G9" s="15" t="s">
        <v>29</v>
      </c>
      <c r="H9" s="15" t="s">
        <v>30</v>
      </c>
      <c r="I9" s="16"/>
      <c r="J9" s="16"/>
      <c r="K9" s="16"/>
      <c r="L9" s="16"/>
      <c r="M9" s="16"/>
      <c r="N9" s="16"/>
    </row>
    <row r="10" spans="1:14" s="17" customFormat="1" ht="23.1" customHeight="1" x14ac:dyDescent="0.3">
      <c r="A10" s="198" t="s">
        <v>51</v>
      </c>
      <c r="B10" s="198"/>
      <c r="C10" s="198"/>
      <c r="D10" s="198"/>
      <c r="F10" s="183" t="s">
        <v>66</v>
      </c>
      <c r="G10" s="184"/>
      <c r="H10" s="185"/>
      <c r="I10" s="18"/>
      <c r="J10" s="18"/>
      <c r="K10" s="18"/>
      <c r="L10" s="18"/>
      <c r="M10" s="19"/>
      <c r="N10" s="20"/>
    </row>
    <row r="11" spans="1:14" s="24" customFormat="1" ht="12.75" customHeight="1" x14ac:dyDescent="0.25">
      <c r="A11" s="21" t="s">
        <v>21</v>
      </c>
      <c r="B11" s="22" t="s">
        <v>22</v>
      </c>
      <c r="C11" s="22" t="s">
        <v>23</v>
      </c>
      <c r="D11" s="23" t="s">
        <v>25</v>
      </c>
      <c r="F11" s="186"/>
      <c r="G11" s="187"/>
      <c r="H11" s="188"/>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78" t="s">
        <v>53</v>
      </c>
      <c r="B27" s="179"/>
      <c r="C27" s="179"/>
      <c r="D27" s="96">
        <f>SUM(Grass_65[Amount])</f>
        <v>0</v>
      </c>
      <c r="F27" s="173" t="s">
        <v>33</v>
      </c>
      <c r="G27" s="174"/>
      <c r="H27" s="174"/>
      <c r="I27" s="35"/>
      <c r="J27" s="35"/>
      <c r="K27" s="35"/>
      <c r="L27" s="35"/>
      <c r="M27" s="36"/>
      <c r="N27" s="37"/>
    </row>
    <row r="28" spans="1:14" s="40" customFormat="1" ht="11.1" customHeight="1" x14ac:dyDescent="0.3">
      <c r="A28" s="38"/>
      <c r="B28" s="38"/>
      <c r="C28" s="38"/>
      <c r="D28" s="39"/>
      <c r="F28" s="173"/>
      <c r="G28" s="174"/>
      <c r="H28" s="174"/>
      <c r="I28" s="35"/>
      <c r="J28" s="35"/>
      <c r="K28" s="35"/>
      <c r="L28" s="35"/>
      <c r="M28" s="36"/>
      <c r="N28" s="37"/>
    </row>
    <row r="29" spans="1:14" s="17" customFormat="1" ht="23.1" customHeight="1" x14ac:dyDescent="0.3">
      <c r="A29" s="191" t="s">
        <v>67</v>
      </c>
      <c r="B29" s="192"/>
      <c r="C29" s="192"/>
      <c r="D29" s="193"/>
      <c r="F29" s="183" t="s">
        <v>52</v>
      </c>
      <c r="G29" s="184"/>
      <c r="H29" s="185"/>
      <c r="I29" s="18"/>
      <c r="J29" s="18"/>
      <c r="K29" s="18"/>
      <c r="L29" s="18"/>
      <c r="M29" s="19"/>
      <c r="N29" s="20"/>
    </row>
    <row r="30" spans="1:14" s="41" customFormat="1" ht="12.75" customHeight="1" x14ac:dyDescent="0.25">
      <c r="A30" s="21" t="s">
        <v>21</v>
      </c>
      <c r="B30" s="22" t="s">
        <v>22</v>
      </c>
      <c r="C30" s="22" t="s">
        <v>23</v>
      </c>
      <c r="D30" s="23" t="s">
        <v>25</v>
      </c>
      <c r="F30" s="186"/>
      <c r="G30" s="187"/>
      <c r="H30" s="188"/>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19"/>
      <c r="J44" s="29"/>
      <c r="K44" s="29"/>
      <c r="L44" s="119"/>
      <c r="M44" s="30"/>
      <c r="N44" s="16"/>
    </row>
    <row r="45" spans="1:14" x14ac:dyDescent="0.3">
      <c r="A45" s="106"/>
      <c r="B45" s="107"/>
      <c r="C45" s="107"/>
      <c r="D45" s="114"/>
      <c r="F45" s="103"/>
      <c r="G45" s="104"/>
      <c r="H45" s="109"/>
      <c r="I45" s="119"/>
      <c r="J45" s="29"/>
      <c r="K45" s="29"/>
      <c r="L45" s="119"/>
      <c r="M45" s="30"/>
      <c r="N45" s="16"/>
    </row>
    <row r="46" spans="1:14" s="34" customFormat="1" x14ac:dyDescent="0.3">
      <c r="A46" s="178" t="s">
        <v>54</v>
      </c>
      <c r="B46" s="179"/>
      <c r="C46" s="179"/>
      <c r="D46" s="96">
        <f>SUM(Tree_65[Amount])</f>
        <v>0</v>
      </c>
      <c r="F46" s="173" t="s">
        <v>33</v>
      </c>
      <c r="G46" s="174"/>
      <c r="H46" s="174"/>
      <c r="I46" s="43"/>
      <c r="J46" s="43"/>
      <c r="K46" s="43"/>
      <c r="L46" s="43"/>
      <c r="M46" s="36"/>
      <c r="N46" s="37"/>
    </row>
    <row r="47" spans="1:14" s="40" customFormat="1" ht="11.1" customHeight="1" x14ac:dyDescent="0.3">
      <c r="A47" s="38"/>
      <c r="B47" s="38"/>
      <c r="C47" s="38"/>
      <c r="D47" s="39"/>
      <c r="F47" s="173"/>
      <c r="G47" s="174"/>
      <c r="H47" s="174"/>
      <c r="I47" s="43"/>
      <c r="J47" s="43"/>
      <c r="K47" s="43"/>
      <c r="L47" s="43"/>
      <c r="M47" s="36"/>
      <c r="N47" s="37"/>
    </row>
    <row r="48" spans="1:14" s="17" customFormat="1" ht="23.1" customHeight="1" x14ac:dyDescent="0.3">
      <c r="A48" s="191" t="s">
        <v>68</v>
      </c>
      <c r="B48" s="192"/>
      <c r="C48" s="192"/>
      <c r="D48" s="193"/>
      <c r="F48" s="183" t="s">
        <v>55</v>
      </c>
      <c r="G48" s="184"/>
      <c r="H48" s="185"/>
      <c r="I48" s="44"/>
      <c r="J48" s="44"/>
      <c r="K48" s="44"/>
      <c r="L48" s="44"/>
      <c r="M48" s="19"/>
      <c r="N48" s="20"/>
    </row>
    <row r="49" spans="1:14" s="41" customFormat="1" ht="12.75" customHeight="1" x14ac:dyDescent="0.25">
      <c r="A49" s="21" t="s">
        <v>21</v>
      </c>
      <c r="B49" s="22" t="s">
        <v>22</v>
      </c>
      <c r="C49" s="22" t="s">
        <v>23</v>
      </c>
      <c r="D49" s="23" t="s">
        <v>25</v>
      </c>
      <c r="F49" s="186"/>
      <c r="G49" s="187"/>
      <c r="H49" s="188"/>
      <c r="I49" s="119"/>
      <c r="J49" s="119"/>
      <c r="K49" s="119"/>
      <c r="L49" s="119"/>
      <c r="M49" s="30"/>
      <c r="N49" s="42"/>
    </row>
    <row r="50" spans="1:14" x14ac:dyDescent="0.3">
      <c r="A50" s="100"/>
      <c r="B50" s="101"/>
      <c r="C50" s="101"/>
      <c r="D50" s="112"/>
      <c r="F50" s="103"/>
      <c r="G50" s="104"/>
      <c r="H50" s="109"/>
      <c r="I50" s="119"/>
      <c r="J50" s="119"/>
      <c r="K50" s="119"/>
      <c r="L50" s="119"/>
      <c r="M50" s="30"/>
      <c r="N50" s="16"/>
    </row>
    <row r="51" spans="1:14" x14ac:dyDescent="0.3">
      <c r="A51" s="106"/>
      <c r="B51" s="107"/>
      <c r="C51" s="107"/>
      <c r="D51" s="113"/>
      <c r="F51" s="103"/>
      <c r="G51" s="104"/>
      <c r="H51" s="109"/>
      <c r="I51" s="119"/>
      <c r="J51" s="119"/>
      <c r="K51" s="119"/>
      <c r="L51" s="119"/>
      <c r="M51" s="30"/>
      <c r="N51" s="16"/>
    </row>
    <row r="52" spans="1:14" x14ac:dyDescent="0.3">
      <c r="A52" s="106"/>
      <c r="B52" s="107"/>
      <c r="C52" s="107"/>
      <c r="D52" s="114"/>
      <c r="F52" s="103"/>
      <c r="H52" s="109"/>
      <c r="I52" s="119"/>
      <c r="J52" s="119"/>
      <c r="K52" s="119"/>
      <c r="L52" s="119"/>
      <c r="M52" s="30"/>
      <c r="N52" s="16"/>
    </row>
    <row r="53" spans="1:14" x14ac:dyDescent="0.3">
      <c r="A53" s="106"/>
      <c r="B53" s="107"/>
      <c r="C53" s="107"/>
      <c r="D53" s="113"/>
      <c r="F53" s="103"/>
      <c r="G53" s="104"/>
      <c r="H53" s="109"/>
      <c r="I53" s="119"/>
      <c r="J53" s="119"/>
      <c r="K53" s="119"/>
      <c r="L53" s="119"/>
      <c r="M53" s="30"/>
      <c r="N53" s="16"/>
    </row>
    <row r="54" spans="1:14" x14ac:dyDescent="0.3">
      <c r="A54" s="106"/>
      <c r="B54" s="107"/>
      <c r="C54" s="107"/>
      <c r="D54" s="114"/>
      <c r="F54" s="103"/>
      <c r="G54" s="104"/>
      <c r="H54" s="109"/>
      <c r="I54" s="119"/>
      <c r="J54" s="119"/>
      <c r="K54" s="119"/>
      <c r="L54" s="119"/>
      <c r="M54" s="30"/>
      <c r="N54" s="16"/>
    </row>
    <row r="55" spans="1:14" x14ac:dyDescent="0.3">
      <c r="A55" s="106"/>
      <c r="B55" s="107"/>
      <c r="C55" s="107"/>
      <c r="D55" s="113"/>
      <c r="F55" s="103"/>
      <c r="G55" s="104"/>
      <c r="H55" s="109"/>
      <c r="I55" s="119"/>
      <c r="J55" s="119"/>
      <c r="K55" s="119"/>
      <c r="L55" s="119"/>
      <c r="M55" s="30"/>
      <c r="N55" s="16"/>
    </row>
    <row r="56" spans="1:14" x14ac:dyDescent="0.3">
      <c r="A56" s="106"/>
      <c r="B56" s="107"/>
      <c r="C56" s="107"/>
      <c r="D56" s="114"/>
      <c r="F56" s="103"/>
      <c r="G56" s="104"/>
      <c r="H56" s="109"/>
      <c r="I56" s="119"/>
      <c r="J56" s="119"/>
      <c r="K56" s="119"/>
      <c r="L56" s="119"/>
      <c r="M56" s="30"/>
      <c r="N56" s="16"/>
    </row>
    <row r="57" spans="1:14" x14ac:dyDescent="0.3">
      <c r="A57" s="106"/>
      <c r="B57" s="107"/>
      <c r="C57" s="107"/>
      <c r="D57" s="113"/>
      <c r="F57" s="103"/>
      <c r="G57" s="104"/>
      <c r="H57" s="109"/>
      <c r="I57" s="119"/>
      <c r="J57" s="119"/>
      <c r="K57" s="119"/>
      <c r="L57" s="119"/>
      <c r="M57" s="30"/>
      <c r="N57" s="16"/>
    </row>
    <row r="58" spans="1:14" x14ac:dyDescent="0.3">
      <c r="A58" s="106"/>
      <c r="B58" s="107"/>
      <c r="C58" s="107"/>
      <c r="D58" s="114"/>
      <c r="F58" s="103"/>
      <c r="G58" s="104"/>
      <c r="H58" s="109"/>
      <c r="I58" s="119"/>
      <c r="J58" s="119"/>
      <c r="K58" s="119"/>
      <c r="L58" s="119"/>
      <c r="M58" s="30"/>
      <c r="N58" s="16"/>
    </row>
    <row r="59" spans="1:14" x14ac:dyDescent="0.3">
      <c r="A59" s="106"/>
      <c r="B59" s="107"/>
      <c r="C59" s="107"/>
      <c r="D59" s="113"/>
      <c r="F59" s="103"/>
      <c r="G59" s="104"/>
      <c r="H59" s="109"/>
      <c r="I59" s="119"/>
      <c r="J59" s="190"/>
      <c r="K59" s="190"/>
      <c r="L59" s="119"/>
      <c r="M59" s="30"/>
      <c r="N59" s="16"/>
    </row>
    <row r="60" spans="1:14" x14ac:dyDescent="0.3">
      <c r="A60" s="106"/>
      <c r="B60" s="107"/>
      <c r="C60" s="107"/>
      <c r="D60" s="114"/>
      <c r="F60" s="103"/>
      <c r="G60" s="104"/>
      <c r="H60" s="109"/>
      <c r="I60" s="189"/>
      <c r="J60" s="189"/>
      <c r="K60" s="189"/>
      <c r="L60" s="189"/>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78" t="s">
        <v>56</v>
      </c>
      <c r="B65" s="179"/>
      <c r="C65" s="179"/>
      <c r="D65" s="96">
        <f>SUM(Pest_65[Amount])</f>
        <v>0</v>
      </c>
      <c r="F65" s="173" t="s">
        <v>33</v>
      </c>
      <c r="G65" s="174"/>
      <c r="H65" s="174"/>
    </row>
    <row r="66" spans="1:8" x14ac:dyDescent="0.3">
      <c r="F66" s="173"/>
      <c r="G66" s="174"/>
      <c r="H66" s="174"/>
    </row>
    <row r="67" spans="1:8" ht="17.399999999999999" x14ac:dyDescent="0.3">
      <c r="A67" s="198" t="s">
        <v>69</v>
      </c>
      <c r="B67" s="198"/>
      <c r="C67" s="198"/>
      <c r="D67" s="198"/>
      <c r="E67" s="17"/>
      <c r="F67" s="183" t="s">
        <v>57</v>
      </c>
      <c r="G67" s="184"/>
      <c r="H67" s="185"/>
    </row>
    <row r="68" spans="1:8" x14ac:dyDescent="0.3">
      <c r="A68" s="21" t="s">
        <v>21</v>
      </c>
      <c r="B68" s="22" t="s">
        <v>22</v>
      </c>
      <c r="C68" s="22" t="s">
        <v>23</v>
      </c>
      <c r="D68" s="23" t="s">
        <v>25</v>
      </c>
      <c r="E68" s="24"/>
      <c r="F68" s="186"/>
      <c r="G68" s="187"/>
      <c r="H68" s="188"/>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78" t="s">
        <v>58</v>
      </c>
      <c r="B84" s="179"/>
      <c r="C84" s="179"/>
      <c r="D84" s="96">
        <f>SUM(Garbage_65[Amount])</f>
        <v>0</v>
      </c>
      <c r="E84" s="34"/>
      <c r="F84" s="173" t="s">
        <v>33</v>
      </c>
      <c r="G84" s="174"/>
      <c r="H84" s="174"/>
    </row>
    <row r="85" spans="1:8" x14ac:dyDescent="0.3">
      <c r="A85" s="38"/>
      <c r="B85" s="38"/>
      <c r="C85" s="38"/>
      <c r="D85" s="39"/>
      <c r="E85" s="40"/>
      <c r="F85" s="173"/>
      <c r="G85" s="174"/>
      <c r="H85" s="174"/>
    </row>
    <row r="86" spans="1:8" ht="17.399999999999999" x14ac:dyDescent="0.3">
      <c r="A86" s="191" t="s">
        <v>59</v>
      </c>
      <c r="B86" s="192"/>
      <c r="C86" s="192"/>
      <c r="D86" s="193"/>
      <c r="E86" s="17"/>
      <c r="F86" s="183" t="s">
        <v>60</v>
      </c>
      <c r="G86" s="184"/>
      <c r="H86" s="185"/>
    </row>
    <row r="87" spans="1:8" x14ac:dyDescent="0.3">
      <c r="A87" s="21" t="s">
        <v>21</v>
      </c>
      <c r="B87" s="22" t="s">
        <v>22</v>
      </c>
      <c r="C87" s="22" t="s">
        <v>23</v>
      </c>
      <c r="D87" s="23" t="s">
        <v>25</v>
      </c>
      <c r="E87" s="41"/>
      <c r="F87" s="186"/>
      <c r="G87" s="187"/>
      <c r="H87" s="188"/>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78" t="s">
        <v>61</v>
      </c>
      <c r="B103" s="179"/>
      <c r="C103" s="179"/>
      <c r="D103" s="96">
        <f>SUM(Boarding_65[Amount])</f>
        <v>0</v>
      </c>
      <c r="E103" s="34"/>
      <c r="F103" s="173" t="s">
        <v>33</v>
      </c>
      <c r="G103" s="174"/>
      <c r="H103" s="174"/>
    </row>
    <row r="104" spans="1:8" x14ac:dyDescent="0.3">
      <c r="A104" s="38"/>
      <c r="B104" s="38"/>
      <c r="C104" s="38"/>
      <c r="D104" s="39"/>
      <c r="E104" s="40"/>
      <c r="F104" s="173"/>
      <c r="G104" s="174"/>
      <c r="H104" s="174"/>
    </row>
    <row r="105" spans="1:8" ht="17.399999999999999" x14ac:dyDescent="0.3">
      <c r="A105" s="191" t="s">
        <v>70</v>
      </c>
      <c r="B105" s="192"/>
      <c r="C105" s="192"/>
      <c r="D105" s="193"/>
      <c r="E105" s="17"/>
      <c r="F105" s="183" t="s">
        <v>62</v>
      </c>
      <c r="G105" s="184"/>
      <c r="H105" s="185"/>
    </row>
    <row r="106" spans="1:8" x14ac:dyDescent="0.3">
      <c r="A106" s="21" t="s">
        <v>21</v>
      </c>
      <c r="B106" s="22" t="s">
        <v>22</v>
      </c>
      <c r="C106" s="22" t="s">
        <v>23</v>
      </c>
      <c r="D106" s="23" t="s">
        <v>25</v>
      </c>
      <c r="E106" s="41"/>
      <c r="F106" s="186"/>
      <c r="G106" s="187"/>
      <c r="H106" s="188"/>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78" t="s">
        <v>63</v>
      </c>
      <c r="B122" s="179"/>
      <c r="C122" s="179"/>
      <c r="D122" s="96">
        <f>SUM(Fence_65[Amount])</f>
        <v>0</v>
      </c>
      <c r="E122" s="34"/>
      <c r="F122" s="173" t="s">
        <v>33</v>
      </c>
      <c r="G122" s="174"/>
      <c r="H122" s="174"/>
    </row>
    <row r="123" spans="1:8" x14ac:dyDescent="0.3">
      <c r="F123" s="173"/>
      <c r="G123" s="174"/>
      <c r="H123" s="174"/>
    </row>
    <row r="124" spans="1:8" ht="17.399999999999999" x14ac:dyDescent="0.3">
      <c r="A124" s="191" t="s">
        <v>26</v>
      </c>
      <c r="B124" s="192"/>
      <c r="C124" s="192"/>
      <c r="D124" s="193"/>
      <c r="E124" s="17"/>
      <c r="F124" s="183" t="s">
        <v>11</v>
      </c>
      <c r="G124" s="184"/>
      <c r="H124" s="185"/>
    </row>
    <row r="125" spans="1:8" x14ac:dyDescent="0.3">
      <c r="A125" s="21" t="s">
        <v>21</v>
      </c>
      <c r="B125" s="22" t="s">
        <v>22</v>
      </c>
      <c r="C125" s="22" t="s">
        <v>23</v>
      </c>
      <c r="D125" s="23" t="s">
        <v>25</v>
      </c>
      <c r="E125" s="41"/>
      <c r="F125" s="186"/>
      <c r="G125" s="187"/>
      <c r="H125" s="188"/>
    </row>
    <row r="126" spans="1:8" x14ac:dyDescent="0.3">
      <c r="A126" s="100"/>
      <c r="B126" s="101"/>
      <c r="C126" s="101"/>
      <c r="D126" s="112">
        <v>15710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78" t="s">
        <v>27</v>
      </c>
      <c r="B141" s="179"/>
      <c r="C141" s="179"/>
      <c r="D141" s="96">
        <f>SUM(Demolition_65[Amount])</f>
        <v>15710</v>
      </c>
      <c r="E141" s="34"/>
      <c r="F141" s="173" t="s">
        <v>33</v>
      </c>
      <c r="G141" s="174"/>
      <c r="H141" s="174"/>
    </row>
    <row r="142" spans="1:8" x14ac:dyDescent="0.3">
      <c r="A142" s="38"/>
      <c r="B142" s="38"/>
      <c r="C142" s="38"/>
      <c r="D142" s="39"/>
      <c r="E142" s="40"/>
      <c r="F142" s="173"/>
      <c r="G142" s="174"/>
      <c r="H142" s="174"/>
    </row>
    <row r="143" spans="1:8" ht="17.399999999999999" x14ac:dyDescent="0.3">
      <c r="A143" s="191" t="s">
        <v>64</v>
      </c>
      <c r="B143" s="192"/>
      <c r="C143" s="192"/>
      <c r="D143" s="193"/>
      <c r="E143" s="17"/>
      <c r="F143" s="183" t="s">
        <v>44</v>
      </c>
      <c r="G143" s="184"/>
      <c r="H143" s="185"/>
    </row>
    <row r="144" spans="1:8" x14ac:dyDescent="0.3">
      <c r="A144" s="21" t="s">
        <v>21</v>
      </c>
      <c r="B144" s="22" t="s">
        <v>22</v>
      </c>
      <c r="C144" s="22" t="s">
        <v>23</v>
      </c>
      <c r="D144" s="23" t="s">
        <v>25</v>
      </c>
      <c r="E144" s="41"/>
      <c r="F144" s="186"/>
      <c r="G144" s="187"/>
      <c r="H144" s="188"/>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78" t="s">
        <v>65</v>
      </c>
      <c r="B160" s="179"/>
      <c r="C160" s="179"/>
      <c r="D160" s="96">
        <f>SUM(Rehab_65[Amount])</f>
        <v>0</v>
      </c>
      <c r="E160" s="34"/>
      <c r="F160" s="173" t="s">
        <v>33</v>
      </c>
      <c r="G160" s="174"/>
      <c r="H160" s="174"/>
    </row>
    <row r="161" spans="6:8" x14ac:dyDescent="0.3">
      <c r="F161" s="173"/>
      <c r="G161" s="174"/>
      <c r="H161" s="174"/>
    </row>
  </sheetData>
  <sheetProtection algorithmName="SHA-512" hashValue="zNQikcXDlfWDExCrfL8YSB8aRdr3Q3cQTv8lL/dU7Lbv8Wo0IPdIw9GRnJu46hbfCY32zwKL/snPYj61hDNIaQ==" saltValue="J0S9VnsINeZNZwEKdxoNOw=="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A1:N161"/>
  <sheetViews>
    <sheetView showGridLines="0" zoomScaleNormal="100" workbookViewId="0">
      <pane ySplit="9" topLeftCell="A124"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5" t="s">
        <v>24</v>
      </c>
      <c r="B1" s="175"/>
      <c r="C1" s="175"/>
      <c r="D1" s="175"/>
      <c r="E1" s="1"/>
      <c r="F1" s="2"/>
      <c r="G1" s="2"/>
      <c r="H1" s="1"/>
    </row>
    <row r="2" spans="1:14" ht="24.9" customHeight="1" x14ac:dyDescent="0.3">
      <c r="A2" s="176" t="s">
        <v>71</v>
      </c>
      <c r="B2" s="176"/>
      <c r="C2" s="176"/>
      <c r="D2" s="176"/>
      <c r="E2" s="4"/>
      <c r="F2" s="120"/>
      <c r="G2" s="120"/>
      <c r="H2" s="5"/>
    </row>
    <row r="3" spans="1:14" ht="31.5" customHeight="1" x14ac:dyDescent="0.3">
      <c r="A3" s="176"/>
      <c r="B3" s="176"/>
      <c r="C3" s="176"/>
      <c r="D3" s="176"/>
      <c r="E3" s="4"/>
      <c r="F3" s="120"/>
      <c r="G3" s="120"/>
      <c r="H3" s="5"/>
    </row>
    <row r="4" spans="1:14" ht="15" customHeight="1" x14ac:dyDescent="0.25">
      <c r="A4" s="75" t="s">
        <v>19</v>
      </c>
      <c r="B4" s="194" t="str">
        <f>IF('Summary Sheet'!B98="","",'Summary Sheet'!B98)</f>
        <v>25 N LOCKWOOD AVE</v>
      </c>
      <c r="C4" s="194"/>
      <c r="D4" s="120"/>
      <c r="E4" s="4"/>
      <c r="F4" s="120"/>
      <c r="G4" s="120"/>
      <c r="H4" s="5"/>
    </row>
    <row r="5" spans="1:14" ht="15" customHeight="1" x14ac:dyDescent="0.25">
      <c r="A5" s="75" t="s">
        <v>20</v>
      </c>
      <c r="B5" s="195" t="str">
        <f>IF('Summary Sheet'!C98="","",'Summary Sheet'!C98)</f>
        <v/>
      </c>
      <c r="C5" s="195"/>
      <c r="D5" s="120"/>
      <c r="E5" s="4"/>
      <c r="F5" s="120"/>
      <c r="G5" s="120"/>
      <c r="H5" s="5"/>
    </row>
    <row r="6" spans="1:14" ht="15" customHeight="1" x14ac:dyDescent="0.25">
      <c r="A6" s="75" t="s">
        <v>36</v>
      </c>
      <c r="B6" s="177"/>
      <c r="C6" s="177"/>
      <c r="D6" s="6"/>
      <c r="E6" s="7"/>
    </row>
    <row r="7" spans="1:14" ht="15" customHeight="1" x14ac:dyDescent="0.25">
      <c r="A7" s="7"/>
      <c r="B7" s="196" t="s">
        <v>34</v>
      </c>
      <c r="C7" s="196"/>
      <c r="D7" s="10"/>
    </row>
    <row r="8" spans="1:14" ht="20.100000000000001" customHeight="1" x14ac:dyDescent="0.25">
      <c r="B8" s="11"/>
      <c r="C8" s="11"/>
      <c r="D8" s="12" t="s">
        <v>31</v>
      </c>
      <c r="F8" s="180" t="s">
        <v>32</v>
      </c>
      <c r="G8" s="181"/>
      <c r="H8" s="182"/>
    </row>
    <row r="9" spans="1:14" s="14" customFormat="1" ht="20.100000000000001" customHeight="1" x14ac:dyDescent="0.25">
      <c r="A9" s="197"/>
      <c r="B9" s="197"/>
      <c r="C9" s="197"/>
      <c r="D9" s="13">
        <f>SUM(D27,D46,D65,D84,D103,D122,D141,D160)</f>
        <v>24748</v>
      </c>
      <c r="F9" s="15" t="s">
        <v>28</v>
      </c>
      <c r="G9" s="15" t="s">
        <v>29</v>
      </c>
      <c r="H9" s="15" t="s">
        <v>30</v>
      </c>
      <c r="I9" s="16"/>
      <c r="J9" s="16"/>
      <c r="K9" s="16"/>
      <c r="L9" s="16"/>
      <c r="M9" s="16"/>
      <c r="N9" s="16"/>
    </row>
    <row r="10" spans="1:14" s="17" customFormat="1" ht="23.1" customHeight="1" x14ac:dyDescent="0.3">
      <c r="A10" s="198" t="s">
        <v>51</v>
      </c>
      <c r="B10" s="198"/>
      <c r="C10" s="198"/>
      <c r="D10" s="198"/>
      <c r="F10" s="183" t="s">
        <v>66</v>
      </c>
      <c r="G10" s="184"/>
      <c r="H10" s="185"/>
      <c r="I10" s="18"/>
      <c r="J10" s="18"/>
      <c r="K10" s="18"/>
      <c r="L10" s="18"/>
      <c r="M10" s="19"/>
      <c r="N10" s="20"/>
    </row>
    <row r="11" spans="1:14" s="24" customFormat="1" ht="12.75" customHeight="1" x14ac:dyDescent="0.25">
      <c r="A11" s="21" t="s">
        <v>21</v>
      </c>
      <c r="B11" s="22" t="s">
        <v>22</v>
      </c>
      <c r="C11" s="22" t="s">
        <v>23</v>
      </c>
      <c r="D11" s="23" t="s">
        <v>25</v>
      </c>
      <c r="F11" s="186"/>
      <c r="G11" s="187"/>
      <c r="H11" s="188"/>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78" t="s">
        <v>53</v>
      </c>
      <c r="B27" s="179"/>
      <c r="C27" s="179"/>
      <c r="D27" s="96">
        <f>SUM(Grass_66[Amount])</f>
        <v>0</v>
      </c>
      <c r="F27" s="173" t="s">
        <v>33</v>
      </c>
      <c r="G27" s="174"/>
      <c r="H27" s="174"/>
      <c r="I27" s="35"/>
      <c r="J27" s="35"/>
      <c r="K27" s="35"/>
      <c r="L27" s="35"/>
      <c r="M27" s="36"/>
      <c r="N27" s="37"/>
    </row>
    <row r="28" spans="1:14" s="40" customFormat="1" ht="11.1" customHeight="1" x14ac:dyDescent="0.3">
      <c r="A28" s="38"/>
      <c r="B28" s="38"/>
      <c r="C28" s="38"/>
      <c r="D28" s="39"/>
      <c r="F28" s="173"/>
      <c r="G28" s="174"/>
      <c r="H28" s="174"/>
      <c r="I28" s="35"/>
      <c r="J28" s="35"/>
      <c r="K28" s="35"/>
      <c r="L28" s="35"/>
      <c r="M28" s="36"/>
      <c r="N28" s="37"/>
    </row>
    <row r="29" spans="1:14" s="17" customFormat="1" ht="23.1" customHeight="1" x14ac:dyDescent="0.3">
      <c r="A29" s="191" t="s">
        <v>67</v>
      </c>
      <c r="B29" s="192"/>
      <c r="C29" s="192"/>
      <c r="D29" s="193"/>
      <c r="F29" s="183" t="s">
        <v>52</v>
      </c>
      <c r="G29" s="184"/>
      <c r="H29" s="185"/>
      <c r="I29" s="18"/>
      <c r="J29" s="18"/>
      <c r="K29" s="18"/>
      <c r="L29" s="18"/>
      <c r="M29" s="19"/>
      <c r="N29" s="20"/>
    </row>
    <row r="30" spans="1:14" s="41" customFormat="1" ht="12.75" customHeight="1" x14ac:dyDescent="0.25">
      <c r="A30" s="21" t="s">
        <v>21</v>
      </c>
      <c r="B30" s="22" t="s">
        <v>22</v>
      </c>
      <c r="C30" s="22" t="s">
        <v>23</v>
      </c>
      <c r="D30" s="23" t="s">
        <v>25</v>
      </c>
      <c r="F30" s="186"/>
      <c r="G30" s="187"/>
      <c r="H30" s="188"/>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19"/>
      <c r="J44" s="29"/>
      <c r="K44" s="29"/>
      <c r="L44" s="119"/>
      <c r="M44" s="30"/>
      <c r="N44" s="16"/>
    </row>
    <row r="45" spans="1:14" x14ac:dyDescent="0.3">
      <c r="A45" s="106"/>
      <c r="B45" s="107"/>
      <c r="C45" s="107"/>
      <c r="D45" s="114"/>
      <c r="F45" s="103"/>
      <c r="G45" s="104"/>
      <c r="H45" s="109"/>
      <c r="I45" s="119"/>
      <c r="J45" s="29"/>
      <c r="K45" s="29"/>
      <c r="L45" s="119"/>
      <c r="M45" s="30"/>
      <c r="N45" s="16"/>
    </row>
    <row r="46" spans="1:14" s="34" customFormat="1" x14ac:dyDescent="0.3">
      <c r="A46" s="178" t="s">
        <v>54</v>
      </c>
      <c r="B46" s="179"/>
      <c r="C46" s="179"/>
      <c r="D46" s="96">
        <f>SUM(Tree_66[Amount])</f>
        <v>0</v>
      </c>
      <c r="F46" s="173" t="s">
        <v>33</v>
      </c>
      <c r="G46" s="174"/>
      <c r="H46" s="174"/>
      <c r="I46" s="43"/>
      <c r="J46" s="43"/>
      <c r="K46" s="43"/>
      <c r="L46" s="43"/>
      <c r="M46" s="36"/>
      <c r="N46" s="37"/>
    </row>
    <row r="47" spans="1:14" s="40" customFormat="1" ht="11.1" customHeight="1" x14ac:dyDescent="0.3">
      <c r="A47" s="38"/>
      <c r="B47" s="38"/>
      <c r="C47" s="38"/>
      <c r="D47" s="39"/>
      <c r="F47" s="173"/>
      <c r="G47" s="174"/>
      <c r="H47" s="174"/>
      <c r="I47" s="43"/>
      <c r="J47" s="43"/>
      <c r="K47" s="43"/>
      <c r="L47" s="43"/>
      <c r="M47" s="36"/>
      <c r="N47" s="37"/>
    </row>
    <row r="48" spans="1:14" s="17" customFormat="1" ht="23.1" customHeight="1" x14ac:dyDescent="0.3">
      <c r="A48" s="191" t="s">
        <v>68</v>
      </c>
      <c r="B48" s="192"/>
      <c r="C48" s="192"/>
      <c r="D48" s="193"/>
      <c r="F48" s="183" t="s">
        <v>55</v>
      </c>
      <c r="G48" s="184"/>
      <c r="H48" s="185"/>
      <c r="I48" s="44"/>
      <c r="J48" s="44"/>
      <c r="K48" s="44"/>
      <c r="L48" s="44"/>
      <c r="M48" s="19"/>
      <c r="N48" s="20"/>
    </row>
    <row r="49" spans="1:14" s="41" customFormat="1" ht="12.75" customHeight="1" x14ac:dyDescent="0.25">
      <c r="A49" s="21" t="s">
        <v>21</v>
      </c>
      <c r="B49" s="22" t="s">
        <v>22</v>
      </c>
      <c r="C49" s="22" t="s">
        <v>23</v>
      </c>
      <c r="D49" s="23" t="s">
        <v>25</v>
      </c>
      <c r="F49" s="186"/>
      <c r="G49" s="187"/>
      <c r="H49" s="188"/>
      <c r="I49" s="119"/>
      <c r="J49" s="119"/>
      <c r="K49" s="119"/>
      <c r="L49" s="119"/>
      <c r="M49" s="30"/>
      <c r="N49" s="42"/>
    </row>
    <row r="50" spans="1:14" x14ac:dyDescent="0.3">
      <c r="A50" s="100"/>
      <c r="B50" s="101"/>
      <c r="C50" s="101"/>
      <c r="D50" s="112"/>
      <c r="F50" s="103"/>
      <c r="G50" s="104"/>
      <c r="H50" s="109"/>
      <c r="I50" s="119"/>
      <c r="J50" s="119"/>
      <c r="K50" s="119"/>
      <c r="L50" s="119"/>
      <c r="M50" s="30"/>
      <c r="N50" s="16"/>
    </row>
    <row r="51" spans="1:14" x14ac:dyDescent="0.3">
      <c r="A51" s="106"/>
      <c r="B51" s="107"/>
      <c r="C51" s="107"/>
      <c r="D51" s="113"/>
      <c r="F51" s="103"/>
      <c r="G51" s="104"/>
      <c r="H51" s="109"/>
      <c r="I51" s="119"/>
      <c r="J51" s="119"/>
      <c r="K51" s="119"/>
      <c r="L51" s="119"/>
      <c r="M51" s="30"/>
      <c r="N51" s="16"/>
    </row>
    <row r="52" spans="1:14" x14ac:dyDescent="0.3">
      <c r="A52" s="106"/>
      <c r="B52" s="107"/>
      <c r="C52" s="107"/>
      <c r="D52" s="114"/>
      <c r="F52" s="103"/>
      <c r="H52" s="109"/>
      <c r="I52" s="119"/>
      <c r="J52" s="119"/>
      <c r="K52" s="119"/>
      <c r="L52" s="119"/>
      <c r="M52" s="30"/>
      <c r="N52" s="16"/>
    </row>
    <row r="53" spans="1:14" x14ac:dyDescent="0.3">
      <c r="A53" s="106"/>
      <c r="B53" s="107"/>
      <c r="C53" s="107"/>
      <c r="D53" s="113"/>
      <c r="F53" s="103"/>
      <c r="G53" s="104"/>
      <c r="H53" s="109"/>
      <c r="I53" s="119"/>
      <c r="J53" s="119"/>
      <c r="K53" s="119"/>
      <c r="L53" s="119"/>
      <c r="M53" s="30"/>
      <c r="N53" s="16"/>
    </row>
    <row r="54" spans="1:14" x14ac:dyDescent="0.3">
      <c r="A54" s="106"/>
      <c r="B54" s="107"/>
      <c r="C54" s="107"/>
      <c r="D54" s="114"/>
      <c r="F54" s="103"/>
      <c r="G54" s="104"/>
      <c r="H54" s="109"/>
      <c r="I54" s="119"/>
      <c r="J54" s="119"/>
      <c r="K54" s="119"/>
      <c r="L54" s="119"/>
      <c r="M54" s="30"/>
      <c r="N54" s="16"/>
    </row>
    <row r="55" spans="1:14" x14ac:dyDescent="0.3">
      <c r="A55" s="106"/>
      <c r="B55" s="107"/>
      <c r="C55" s="107"/>
      <c r="D55" s="113"/>
      <c r="F55" s="103"/>
      <c r="G55" s="104"/>
      <c r="H55" s="109"/>
      <c r="I55" s="119"/>
      <c r="J55" s="119"/>
      <c r="K55" s="119"/>
      <c r="L55" s="119"/>
      <c r="M55" s="30"/>
      <c r="N55" s="16"/>
    </row>
    <row r="56" spans="1:14" x14ac:dyDescent="0.3">
      <c r="A56" s="106"/>
      <c r="B56" s="107"/>
      <c r="C56" s="107"/>
      <c r="D56" s="114"/>
      <c r="F56" s="103"/>
      <c r="G56" s="104"/>
      <c r="H56" s="109"/>
      <c r="I56" s="119"/>
      <c r="J56" s="119"/>
      <c r="K56" s="119"/>
      <c r="L56" s="119"/>
      <c r="M56" s="30"/>
      <c r="N56" s="16"/>
    </row>
    <row r="57" spans="1:14" x14ac:dyDescent="0.3">
      <c r="A57" s="106"/>
      <c r="B57" s="107"/>
      <c r="C57" s="107"/>
      <c r="D57" s="113"/>
      <c r="F57" s="103"/>
      <c r="G57" s="104"/>
      <c r="H57" s="109"/>
      <c r="I57" s="119"/>
      <c r="J57" s="119"/>
      <c r="K57" s="119"/>
      <c r="L57" s="119"/>
      <c r="M57" s="30"/>
      <c r="N57" s="16"/>
    </row>
    <row r="58" spans="1:14" x14ac:dyDescent="0.3">
      <c r="A58" s="106"/>
      <c r="B58" s="107"/>
      <c r="C58" s="107"/>
      <c r="D58" s="114"/>
      <c r="F58" s="103"/>
      <c r="G58" s="104"/>
      <c r="H58" s="109"/>
      <c r="I58" s="119"/>
      <c r="J58" s="119"/>
      <c r="K58" s="119"/>
      <c r="L58" s="119"/>
      <c r="M58" s="30"/>
      <c r="N58" s="16"/>
    </row>
    <row r="59" spans="1:14" x14ac:dyDescent="0.3">
      <c r="A59" s="106"/>
      <c r="B59" s="107"/>
      <c r="C59" s="107"/>
      <c r="D59" s="113"/>
      <c r="F59" s="103"/>
      <c r="G59" s="104"/>
      <c r="H59" s="109"/>
      <c r="I59" s="119"/>
      <c r="J59" s="190"/>
      <c r="K59" s="190"/>
      <c r="L59" s="119"/>
      <c r="M59" s="30"/>
      <c r="N59" s="16"/>
    </row>
    <row r="60" spans="1:14" x14ac:dyDescent="0.3">
      <c r="A60" s="106"/>
      <c r="B60" s="107"/>
      <c r="C60" s="107"/>
      <c r="D60" s="114"/>
      <c r="F60" s="103"/>
      <c r="G60" s="104"/>
      <c r="H60" s="109"/>
      <c r="I60" s="189"/>
      <c r="J60" s="189"/>
      <c r="K60" s="189"/>
      <c r="L60" s="189"/>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78" t="s">
        <v>56</v>
      </c>
      <c r="B65" s="179"/>
      <c r="C65" s="179"/>
      <c r="D65" s="96">
        <f>SUM(Pest_66[Amount])</f>
        <v>0</v>
      </c>
      <c r="F65" s="173" t="s">
        <v>33</v>
      </c>
      <c r="G65" s="174"/>
      <c r="H65" s="174"/>
    </row>
    <row r="66" spans="1:8" x14ac:dyDescent="0.3">
      <c r="F66" s="173"/>
      <c r="G66" s="174"/>
      <c r="H66" s="174"/>
    </row>
    <row r="67" spans="1:8" ht="17.399999999999999" x14ac:dyDescent="0.3">
      <c r="A67" s="198" t="s">
        <v>69</v>
      </c>
      <c r="B67" s="198"/>
      <c r="C67" s="198"/>
      <c r="D67" s="198"/>
      <c r="E67" s="17"/>
      <c r="F67" s="183" t="s">
        <v>57</v>
      </c>
      <c r="G67" s="184"/>
      <c r="H67" s="185"/>
    </row>
    <row r="68" spans="1:8" x14ac:dyDescent="0.3">
      <c r="A68" s="21" t="s">
        <v>21</v>
      </c>
      <c r="B68" s="22" t="s">
        <v>22</v>
      </c>
      <c r="C68" s="22" t="s">
        <v>23</v>
      </c>
      <c r="D68" s="23" t="s">
        <v>25</v>
      </c>
      <c r="E68" s="24"/>
      <c r="F68" s="186"/>
      <c r="G68" s="187"/>
      <c r="H68" s="188"/>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78" t="s">
        <v>58</v>
      </c>
      <c r="B84" s="179"/>
      <c r="C84" s="179"/>
      <c r="D84" s="96">
        <f>SUM(Garbage_66[Amount])</f>
        <v>0</v>
      </c>
      <c r="E84" s="34"/>
      <c r="F84" s="173" t="s">
        <v>33</v>
      </c>
      <c r="G84" s="174"/>
      <c r="H84" s="174"/>
    </row>
    <row r="85" spans="1:8" x14ac:dyDescent="0.3">
      <c r="A85" s="38"/>
      <c r="B85" s="38"/>
      <c r="C85" s="38"/>
      <c r="D85" s="39"/>
      <c r="E85" s="40"/>
      <c r="F85" s="173"/>
      <c r="G85" s="174"/>
      <c r="H85" s="174"/>
    </row>
    <row r="86" spans="1:8" ht="17.399999999999999" x14ac:dyDescent="0.3">
      <c r="A86" s="191" t="s">
        <v>59</v>
      </c>
      <c r="B86" s="192"/>
      <c r="C86" s="192"/>
      <c r="D86" s="193"/>
      <c r="E86" s="17"/>
      <c r="F86" s="183" t="s">
        <v>60</v>
      </c>
      <c r="G86" s="184"/>
      <c r="H86" s="185"/>
    </row>
    <row r="87" spans="1:8" x14ac:dyDescent="0.3">
      <c r="A87" s="21" t="s">
        <v>21</v>
      </c>
      <c r="B87" s="22" t="s">
        <v>22</v>
      </c>
      <c r="C87" s="22" t="s">
        <v>23</v>
      </c>
      <c r="D87" s="23" t="s">
        <v>25</v>
      </c>
      <c r="E87" s="41"/>
      <c r="F87" s="186"/>
      <c r="G87" s="187"/>
      <c r="H87" s="188"/>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78" t="s">
        <v>61</v>
      </c>
      <c r="B103" s="179"/>
      <c r="C103" s="179"/>
      <c r="D103" s="96">
        <f>SUM(Boarding_66[Amount])</f>
        <v>0</v>
      </c>
      <c r="E103" s="34"/>
      <c r="F103" s="173" t="s">
        <v>33</v>
      </c>
      <c r="G103" s="174"/>
      <c r="H103" s="174"/>
    </row>
    <row r="104" spans="1:8" x14ac:dyDescent="0.3">
      <c r="A104" s="38"/>
      <c r="B104" s="38"/>
      <c r="C104" s="38"/>
      <c r="D104" s="39"/>
      <c r="E104" s="40"/>
      <c r="F104" s="173"/>
      <c r="G104" s="174"/>
      <c r="H104" s="174"/>
    </row>
    <row r="105" spans="1:8" ht="17.399999999999999" x14ac:dyDescent="0.3">
      <c r="A105" s="191" t="s">
        <v>70</v>
      </c>
      <c r="B105" s="192"/>
      <c r="C105" s="192"/>
      <c r="D105" s="193"/>
      <c r="E105" s="17"/>
      <c r="F105" s="183" t="s">
        <v>62</v>
      </c>
      <c r="G105" s="184"/>
      <c r="H105" s="185"/>
    </row>
    <row r="106" spans="1:8" x14ac:dyDescent="0.3">
      <c r="A106" s="21" t="s">
        <v>21</v>
      </c>
      <c r="B106" s="22" t="s">
        <v>22</v>
      </c>
      <c r="C106" s="22" t="s">
        <v>23</v>
      </c>
      <c r="D106" s="23" t="s">
        <v>25</v>
      </c>
      <c r="E106" s="41"/>
      <c r="F106" s="186"/>
      <c r="G106" s="187"/>
      <c r="H106" s="188"/>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78" t="s">
        <v>63</v>
      </c>
      <c r="B122" s="179"/>
      <c r="C122" s="179"/>
      <c r="D122" s="96">
        <f>SUM(Fence_66[Amount])</f>
        <v>0</v>
      </c>
      <c r="E122" s="34"/>
      <c r="F122" s="173" t="s">
        <v>33</v>
      </c>
      <c r="G122" s="174"/>
      <c r="H122" s="174"/>
    </row>
    <row r="123" spans="1:8" x14ac:dyDescent="0.3">
      <c r="F123" s="173"/>
      <c r="G123" s="174"/>
      <c r="H123" s="174"/>
    </row>
    <row r="124" spans="1:8" ht="17.399999999999999" x14ac:dyDescent="0.3">
      <c r="A124" s="191" t="s">
        <v>26</v>
      </c>
      <c r="B124" s="192"/>
      <c r="C124" s="192"/>
      <c r="D124" s="193"/>
      <c r="E124" s="17"/>
      <c r="F124" s="183" t="s">
        <v>11</v>
      </c>
      <c r="G124" s="184"/>
      <c r="H124" s="185"/>
    </row>
    <row r="125" spans="1:8" x14ac:dyDescent="0.3">
      <c r="A125" s="21" t="s">
        <v>21</v>
      </c>
      <c r="B125" s="22" t="s">
        <v>22</v>
      </c>
      <c r="C125" s="22" t="s">
        <v>23</v>
      </c>
      <c r="D125" s="23" t="s">
        <v>25</v>
      </c>
      <c r="E125" s="41"/>
      <c r="F125" s="186"/>
      <c r="G125" s="187"/>
      <c r="H125" s="188"/>
    </row>
    <row r="126" spans="1:8" x14ac:dyDescent="0.3">
      <c r="A126" s="100"/>
      <c r="B126" s="101"/>
      <c r="C126" s="101"/>
      <c r="D126" s="112">
        <v>24748</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78" t="s">
        <v>27</v>
      </c>
      <c r="B141" s="179"/>
      <c r="C141" s="179"/>
      <c r="D141" s="96">
        <f>SUM(Demolition_66[Amount])</f>
        <v>24748</v>
      </c>
      <c r="E141" s="34"/>
      <c r="F141" s="173" t="s">
        <v>33</v>
      </c>
      <c r="G141" s="174"/>
      <c r="H141" s="174"/>
    </row>
    <row r="142" spans="1:8" x14ac:dyDescent="0.3">
      <c r="A142" s="38"/>
      <c r="B142" s="38"/>
      <c r="C142" s="38"/>
      <c r="D142" s="39"/>
      <c r="E142" s="40"/>
      <c r="F142" s="173"/>
      <c r="G142" s="174"/>
      <c r="H142" s="174"/>
    </row>
    <row r="143" spans="1:8" ht="17.399999999999999" x14ac:dyDescent="0.3">
      <c r="A143" s="191" t="s">
        <v>64</v>
      </c>
      <c r="B143" s="192"/>
      <c r="C143" s="192"/>
      <c r="D143" s="193"/>
      <c r="E143" s="17"/>
      <c r="F143" s="183" t="s">
        <v>44</v>
      </c>
      <c r="G143" s="184"/>
      <c r="H143" s="185"/>
    </row>
    <row r="144" spans="1:8" x14ac:dyDescent="0.3">
      <c r="A144" s="21" t="s">
        <v>21</v>
      </c>
      <c r="B144" s="22" t="s">
        <v>22</v>
      </c>
      <c r="C144" s="22" t="s">
        <v>23</v>
      </c>
      <c r="D144" s="23" t="s">
        <v>25</v>
      </c>
      <c r="E144" s="41"/>
      <c r="F144" s="186"/>
      <c r="G144" s="187"/>
      <c r="H144" s="188"/>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78" t="s">
        <v>65</v>
      </c>
      <c r="B160" s="179"/>
      <c r="C160" s="179"/>
      <c r="D160" s="96">
        <f>SUM(Rehab_66[Amount])</f>
        <v>0</v>
      </c>
      <c r="E160" s="34"/>
      <c r="F160" s="173" t="s">
        <v>33</v>
      </c>
      <c r="G160" s="174"/>
      <c r="H160" s="174"/>
    </row>
    <row r="161" spans="6:8" x14ac:dyDescent="0.3">
      <c r="F161" s="173"/>
      <c r="G161" s="174"/>
      <c r="H161" s="174"/>
    </row>
  </sheetData>
  <sheetProtection algorithmName="SHA-512" hashValue="OnqpjaKT5n5HcLdO6c8nqFI4AILwwmEvG0FXqlms+YlmrJarNnmRtOnEnvvITrtE8hF7BUFVY4Scg/8caEwYSg==" saltValue="rwi9rk5i34Zla44Vi7hDzw=="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N161"/>
  <sheetViews>
    <sheetView showGridLines="0" zoomScaleNormal="100" workbookViewId="0">
      <pane ySplit="9" topLeftCell="A121"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5" t="s">
        <v>24</v>
      </c>
      <c r="B1" s="175"/>
      <c r="C1" s="175"/>
      <c r="D1" s="175"/>
      <c r="E1" s="1"/>
      <c r="F1" s="2"/>
      <c r="G1" s="2"/>
      <c r="H1" s="1"/>
    </row>
    <row r="2" spans="1:14" ht="24.9" customHeight="1" x14ac:dyDescent="0.3">
      <c r="A2" s="176" t="s">
        <v>71</v>
      </c>
      <c r="B2" s="176"/>
      <c r="C2" s="176"/>
      <c r="D2" s="176"/>
      <c r="E2" s="4"/>
      <c r="F2" s="120"/>
      <c r="G2" s="120"/>
      <c r="H2" s="5"/>
    </row>
    <row r="3" spans="1:14" ht="31.5" customHeight="1" x14ac:dyDescent="0.3">
      <c r="A3" s="176"/>
      <c r="B3" s="176"/>
      <c r="C3" s="176"/>
      <c r="D3" s="176"/>
      <c r="E3" s="4"/>
      <c r="F3" s="120"/>
      <c r="G3" s="120"/>
      <c r="H3" s="5"/>
    </row>
    <row r="4" spans="1:14" ht="15" customHeight="1" x14ac:dyDescent="0.25">
      <c r="A4" s="75" t="s">
        <v>19</v>
      </c>
      <c r="B4" s="194" t="str">
        <f>IF('Summary Sheet'!B99="","",'Summary Sheet'!B99)</f>
        <v>2617 W LITHUANIAN PLAZA</v>
      </c>
      <c r="C4" s="194"/>
      <c r="D4" s="120"/>
      <c r="E4" s="4"/>
      <c r="F4" s="120"/>
      <c r="G4" s="120"/>
      <c r="H4" s="5"/>
    </row>
    <row r="5" spans="1:14" ht="15" customHeight="1" x14ac:dyDescent="0.25">
      <c r="A5" s="75" t="s">
        <v>20</v>
      </c>
      <c r="B5" s="195" t="str">
        <f>IF('Summary Sheet'!C99="","",'Summary Sheet'!C99)</f>
        <v/>
      </c>
      <c r="C5" s="195"/>
      <c r="D5" s="120"/>
      <c r="E5" s="4"/>
      <c r="F5" s="120"/>
      <c r="G5" s="120"/>
      <c r="H5" s="5"/>
    </row>
    <row r="6" spans="1:14" ht="15" customHeight="1" x14ac:dyDescent="0.25">
      <c r="A6" s="75" t="s">
        <v>36</v>
      </c>
      <c r="B6" s="177"/>
      <c r="C6" s="177"/>
      <c r="D6" s="6"/>
      <c r="E6" s="7"/>
    </row>
    <row r="7" spans="1:14" ht="15" customHeight="1" x14ac:dyDescent="0.25">
      <c r="A7" s="7"/>
      <c r="B7" s="196" t="s">
        <v>34</v>
      </c>
      <c r="C7" s="196"/>
      <c r="D7" s="10"/>
    </row>
    <row r="8" spans="1:14" ht="20.100000000000001" customHeight="1" x14ac:dyDescent="0.25">
      <c r="B8" s="11"/>
      <c r="C8" s="11"/>
      <c r="D8" s="12" t="s">
        <v>31</v>
      </c>
      <c r="F8" s="180" t="s">
        <v>32</v>
      </c>
      <c r="G8" s="181"/>
      <c r="H8" s="182"/>
    </row>
    <row r="9" spans="1:14" s="14" customFormat="1" ht="20.100000000000001" customHeight="1" x14ac:dyDescent="0.25">
      <c r="A9" s="197"/>
      <c r="B9" s="197"/>
      <c r="C9" s="197"/>
      <c r="D9" s="13">
        <f>SUM(D27,D46,D65,D84,D103,D122,D141,D160)</f>
        <v>25850</v>
      </c>
      <c r="F9" s="15" t="s">
        <v>28</v>
      </c>
      <c r="G9" s="15" t="s">
        <v>29</v>
      </c>
      <c r="H9" s="15" t="s">
        <v>30</v>
      </c>
      <c r="I9" s="16"/>
      <c r="J9" s="16"/>
      <c r="K9" s="16"/>
      <c r="L9" s="16"/>
      <c r="M9" s="16"/>
      <c r="N9" s="16"/>
    </row>
    <row r="10" spans="1:14" s="17" customFormat="1" ht="23.1" customHeight="1" x14ac:dyDescent="0.3">
      <c r="A10" s="198" t="s">
        <v>51</v>
      </c>
      <c r="B10" s="198"/>
      <c r="C10" s="198"/>
      <c r="D10" s="198"/>
      <c r="F10" s="183" t="s">
        <v>66</v>
      </c>
      <c r="G10" s="184"/>
      <c r="H10" s="185"/>
      <c r="I10" s="18"/>
      <c r="J10" s="18"/>
      <c r="K10" s="18"/>
      <c r="L10" s="18"/>
      <c r="M10" s="19"/>
      <c r="N10" s="20"/>
    </row>
    <row r="11" spans="1:14" s="24" customFormat="1" ht="12.75" customHeight="1" x14ac:dyDescent="0.25">
      <c r="A11" s="21" t="s">
        <v>21</v>
      </c>
      <c r="B11" s="22" t="s">
        <v>22</v>
      </c>
      <c r="C11" s="22" t="s">
        <v>23</v>
      </c>
      <c r="D11" s="23" t="s">
        <v>25</v>
      </c>
      <c r="F11" s="186"/>
      <c r="G11" s="187"/>
      <c r="H11" s="188"/>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78" t="s">
        <v>53</v>
      </c>
      <c r="B27" s="179"/>
      <c r="C27" s="179"/>
      <c r="D27" s="96">
        <f>SUM(Grass_67[Amount])</f>
        <v>0</v>
      </c>
      <c r="F27" s="173" t="s">
        <v>33</v>
      </c>
      <c r="G27" s="174"/>
      <c r="H27" s="174"/>
      <c r="I27" s="35"/>
      <c r="J27" s="35"/>
      <c r="K27" s="35"/>
      <c r="L27" s="35"/>
      <c r="M27" s="36"/>
      <c r="N27" s="37"/>
    </row>
    <row r="28" spans="1:14" s="40" customFormat="1" ht="11.1" customHeight="1" x14ac:dyDescent="0.3">
      <c r="A28" s="38"/>
      <c r="B28" s="38"/>
      <c r="C28" s="38"/>
      <c r="D28" s="39"/>
      <c r="F28" s="173"/>
      <c r="G28" s="174"/>
      <c r="H28" s="174"/>
      <c r="I28" s="35"/>
      <c r="J28" s="35"/>
      <c r="K28" s="35"/>
      <c r="L28" s="35"/>
      <c r="M28" s="36"/>
      <c r="N28" s="37"/>
    </row>
    <row r="29" spans="1:14" s="17" customFormat="1" ht="23.1" customHeight="1" x14ac:dyDescent="0.3">
      <c r="A29" s="191" t="s">
        <v>67</v>
      </c>
      <c r="B29" s="192"/>
      <c r="C29" s="192"/>
      <c r="D29" s="193"/>
      <c r="F29" s="183" t="s">
        <v>52</v>
      </c>
      <c r="G29" s="184"/>
      <c r="H29" s="185"/>
      <c r="I29" s="18"/>
      <c r="J29" s="18"/>
      <c r="K29" s="18"/>
      <c r="L29" s="18"/>
      <c r="M29" s="19"/>
      <c r="N29" s="20"/>
    </row>
    <row r="30" spans="1:14" s="41" customFormat="1" ht="12.75" customHeight="1" x14ac:dyDescent="0.25">
      <c r="A30" s="21" t="s">
        <v>21</v>
      </c>
      <c r="B30" s="22" t="s">
        <v>22</v>
      </c>
      <c r="C30" s="22" t="s">
        <v>23</v>
      </c>
      <c r="D30" s="23" t="s">
        <v>25</v>
      </c>
      <c r="F30" s="186"/>
      <c r="G30" s="187"/>
      <c r="H30" s="188"/>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19"/>
      <c r="J44" s="29"/>
      <c r="K44" s="29"/>
      <c r="L44" s="119"/>
      <c r="M44" s="30"/>
      <c r="N44" s="16"/>
    </row>
    <row r="45" spans="1:14" x14ac:dyDescent="0.3">
      <c r="A45" s="106"/>
      <c r="B45" s="107"/>
      <c r="C45" s="107"/>
      <c r="D45" s="114"/>
      <c r="F45" s="103"/>
      <c r="G45" s="104"/>
      <c r="H45" s="109"/>
      <c r="I45" s="119"/>
      <c r="J45" s="29"/>
      <c r="K45" s="29"/>
      <c r="L45" s="119"/>
      <c r="M45" s="30"/>
      <c r="N45" s="16"/>
    </row>
    <row r="46" spans="1:14" s="34" customFormat="1" x14ac:dyDescent="0.3">
      <c r="A46" s="178" t="s">
        <v>54</v>
      </c>
      <c r="B46" s="179"/>
      <c r="C46" s="179"/>
      <c r="D46" s="96">
        <f>SUM(Tree_67[Amount])</f>
        <v>0</v>
      </c>
      <c r="F46" s="173" t="s">
        <v>33</v>
      </c>
      <c r="G46" s="174"/>
      <c r="H46" s="174"/>
      <c r="I46" s="43"/>
      <c r="J46" s="43"/>
      <c r="K46" s="43"/>
      <c r="L46" s="43"/>
      <c r="M46" s="36"/>
      <c r="N46" s="37"/>
    </row>
    <row r="47" spans="1:14" s="40" customFormat="1" ht="11.1" customHeight="1" x14ac:dyDescent="0.3">
      <c r="A47" s="38"/>
      <c r="B47" s="38"/>
      <c r="C47" s="38"/>
      <c r="D47" s="39"/>
      <c r="F47" s="173"/>
      <c r="G47" s="174"/>
      <c r="H47" s="174"/>
      <c r="I47" s="43"/>
      <c r="J47" s="43"/>
      <c r="K47" s="43"/>
      <c r="L47" s="43"/>
      <c r="M47" s="36"/>
      <c r="N47" s="37"/>
    </row>
    <row r="48" spans="1:14" s="17" customFormat="1" ht="23.1" customHeight="1" x14ac:dyDescent="0.3">
      <c r="A48" s="191" t="s">
        <v>68</v>
      </c>
      <c r="B48" s="192"/>
      <c r="C48" s="192"/>
      <c r="D48" s="193"/>
      <c r="F48" s="183" t="s">
        <v>55</v>
      </c>
      <c r="G48" s="184"/>
      <c r="H48" s="185"/>
      <c r="I48" s="44"/>
      <c r="J48" s="44"/>
      <c r="K48" s="44"/>
      <c r="L48" s="44"/>
      <c r="M48" s="19"/>
      <c r="N48" s="20"/>
    </row>
    <row r="49" spans="1:14" s="41" customFormat="1" ht="12.75" customHeight="1" x14ac:dyDescent="0.25">
      <c r="A49" s="21" t="s">
        <v>21</v>
      </c>
      <c r="B49" s="22" t="s">
        <v>22</v>
      </c>
      <c r="C49" s="22" t="s">
        <v>23</v>
      </c>
      <c r="D49" s="23" t="s">
        <v>25</v>
      </c>
      <c r="F49" s="186"/>
      <c r="G49" s="187"/>
      <c r="H49" s="188"/>
      <c r="I49" s="119"/>
      <c r="J49" s="119"/>
      <c r="K49" s="119"/>
      <c r="L49" s="119"/>
      <c r="M49" s="30"/>
      <c r="N49" s="42"/>
    </row>
    <row r="50" spans="1:14" x14ac:dyDescent="0.3">
      <c r="A50" s="100"/>
      <c r="B50" s="101"/>
      <c r="C50" s="101"/>
      <c r="D50" s="112"/>
      <c r="F50" s="103"/>
      <c r="G50" s="104"/>
      <c r="H50" s="109"/>
      <c r="I50" s="119"/>
      <c r="J50" s="119"/>
      <c r="K50" s="119"/>
      <c r="L50" s="119"/>
      <c r="M50" s="30"/>
      <c r="N50" s="16"/>
    </row>
    <row r="51" spans="1:14" x14ac:dyDescent="0.3">
      <c r="A51" s="106"/>
      <c r="B51" s="107"/>
      <c r="C51" s="107"/>
      <c r="D51" s="113"/>
      <c r="F51" s="103"/>
      <c r="G51" s="104"/>
      <c r="H51" s="109"/>
      <c r="I51" s="119"/>
      <c r="J51" s="119"/>
      <c r="K51" s="119"/>
      <c r="L51" s="119"/>
      <c r="M51" s="30"/>
      <c r="N51" s="16"/>
    </row>
    <row r="52" spans="1:14" x14ac:dyDescent="0.3">
      <c r="A52" s="106"/>
      <c r="B52" s="107"/>
      <c r="C52" s="107"/>
      <c r="D52" s="114"/>
      <c r="F52" s="103"/>
      <c r="H52" s="109"/>
      <c r="I52" s="119"/>
      <c r="J52" s="119"/>
      <c r="K52" s="119"/>
      <c r="L52" s="119"/>
      <c r="M52" s="30"/>
      <c r="N52" s="16"/>
    </row>
    <row r="53" spans="1:14" x14ac:dyDescent="0.3">
      <c r="A53" s="106"/>
      <c r="B53" s="107"/>
      <c r="C53" s="107"/>
      <c r="D53" s="113"/>
      <c r="F53" s="103"/>
      <c r="G53" s="104"/>
      <c r="H53" s="109"/>
      <c r="I53" s="119"/>
      <c r="J53" s="119"/>
      <c r="K53" s="119"/>
      <c r="L53" s="119"/>
      <c r="M53" s="30"/>
      <c r="N53" s="16"/>
    </row>
    <row r="54" spans="1:14" x14ac:dyDescent="0.3">
      <c r="A54" s="106"/>
      <c r="B54" s="107"/>
      <c r="C54" s="107"/>
      <c r="D54" s="114"/>
      <c r="F54" s="103"/>
      <c r="G54" s="104"/>
      <c r="H54" s="109"/>
      <c r="I54" s="119"/>
      <c r="J54" s="119"/>
      <c r="K54" s="119"/>
      <c r="L54" s="119"/>
      <c r="M54" s="30"/>
      <c r="N54" s="16"/>
    </row>
    <row r="55" spans="1:14" x14ac:dyDescent="0.3">
      <c r="A55" s="106"/>
      <c r="B55" s="107"/>
      <c r="C55" s="107"/>
      <c r="D55" s="113"/>
      <c r="F55" s="103"/>
      <c r="G55" s="104"/>
      <c r="H55" s="109"/>
      <c r="I55" s="119"/>
      <c r="J55" s="119"/>
      <c r="K55" s="119"/>
      <c r="L55" s="119"/>
      <c r="M55" s="30"/>
      <c r="N55" s="16"/>
    </row>
    <row r="56" spans="1:14" x14ac:dyDescent="0.3">
      <c r="A56" s="106"/>
      <c r="B56" s="107"/>
      <c r="C56" s="107"/>
      <c r="D56" s="114"/>
      <c r="F56" s="103"/>
      <c r="G56" s="104"/>
      <c r="H56" s="109"/>
      <c r="I56" s="119"/>
      <c r="J56" s="119"/>
      <c r="K56" s="119"/>
      <c r="L56" s="119"/>
      <c r="M56" s="30"/>
      <c r="N56" s="16"/>
    </row>
    <row r="57" spans="1:14" x14ac:dyDescent="0.3">
      <c r="A57" s="106"/>
      <c r="B57" s="107"/>
      <c r="C57" s="107"/>
      <c r="D57" s="113"/>
      <c r="F57" s="103"/>
      <c r="G57" s="104"/>
      <c r="H57" s="109"/>
      <c r="I57" s="119"/>
      <c r="J57" s="119"/>
      <c r="K57" s="119"/>
      <c r="L57" s="119"/>
      <c r="M57" s="30"/>
      <c r="N57" s="16"/>
    </row>
    <row r="58" spans="1:14" x14ac:dyDescent="0.3">
      <c r="A58" s="106"/>
      <c r="B58" s="107"/>
      <c r="C58" s="107"/>
      <c r="D58" s="114"/>
      <c r="F58" s="103"/>
      <c r="G58" s="104"/>
      <c r="H58" s="109"/>
      <c r="I58" s="119"/>
      <c r="J58" s="119"/>
      <c r="K58" s="119"/>
      <c r="L58" s="119"/>
      <c r="M58" s="30"/>
      <c r="N58" s="16"/>
    </row>
    <row r="59" spans="1:14" x14ac:dyDescent="0.3">
      <c r="A59" s="106"/>
      <c r="B59" s="107"/>
      <c r="C59" s="107"/>
      <c r="D59" s="113"/>
      <c r="F59" s="103"/>
      <c r="G59" s="104"/>
      <c r="H59" s="109"/>
      <c r="I59" s="119"/>
      <c r="J59" s="190"/>
      <c r="K59" s="190"/>
      <c r="L59" s="119"/>
      <c r="M59" s="30"/>
      <c r="N59" s="16"/>
    </row>
    <row r="60" spans="1:14" x14ac:dyDescent="0.3">
      <c r="A60" s="106"/>
      <c r="B60" s="107"/>
      <c r="C60" s="107"/>
      <c r="D60" s="114"/>
      <c r="F60" s="103"/>
      <c r="G60" s="104"/>
      <c r="H60" s="109"/>
      <c r="I60" s="189"/>
      <c r="J60" s="189"/>
      <c r="K60" s="189"/>
      <c r="L60" s="189"/>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78" t="s">
        <v>56</v>
      </c>
      <c r="B65" s="179"/>
      <c r="C65" s="179"/>
      <c r="D65" s="96">
        <f>SUM(Pest_67[Amount])</f>
        <v>0</v>
      </c>
      <c r="F65" s="173" t="s">
        <v>33</v>
      </c>
      <c r="G65" s="174"/>
      <c r="H65" s="174"/>
    </row>
    <row r="66" spans="1:8" x14ac:dyDescent="0.3">
      <c r="F66" s="173"/>
      <c r="G66" s="174"/>
      <c r="H66" s="174"/>
    </row>
    <row r="67" spans="1:8" ht="17.399999999999999" x14ac:dyDescent="0.3">
      <c r="A67" s="198" t="s">
        <v>69</v>
      </c>
      <c r="B67" s="198"/>
      <c r="C67" s="198"/>
      <c r="D67" s="198"/>
      <c r="E67" s="17"/>
      <c r="F67" s="183" t="s">
        <v>57</v>
      </c>
      <c r="G67" s="184"/>
      <c r="H67" s="185"/>
    </row>
    <row r="68" spans="1:8" x14ac:dyDescent="0.3">
      <c r="A68" s="21" t="s">
        <v>21</v>
      </c>
      <c r="B68" s="22" t="s">
        <v>22</v>
      </c>
      <c r="C68" s="22" t="s">
        <v>23</v>
      </c>
      <c r="D68" s="23" t="s">
        <v>25</v>
      </c>
      <c r="E68" s="24"/>
      <c r="F68" s="186"/>
      <c r="G68" s="187"/>
      <c r="H68" s="188"/>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78" t="s">
        <v>58</v>
      </c>
      <c r="B84" s="179"/>
      <c r="C84" s="179"/>
      <c r="D84" s="96">
        <f>SUM(Garbage_67[Amount])</f>
        <v>0</v>
      </c>
      <c r="E84" s="34"/>
      <c r="F84" s="173" t="s">
        <v>33</v>
      </c>
      <c r="G84" s="174"/>
      <c r="H84" s="174"/>
    </row>
    <row r="85" spans="1:8" x14ac:dyDescent="0.3">
      <c r="A85" s="38"/>
      <c r="B85" s="38"/>
      <c r="C85" s="38"/>
      <c r="D85" s="39"/>
      <c r="E85" s="40"/>
      <c r="F85" s="173"/>
      <c r="G85" s="174"/>
      <c r="H85" s="174"/>
    </row>
    <row r="86" spans="1:8" ht="17.399999999999999" x14ac:dyDescent="0.3">
      <c r="A86" s="191" t="s">
        <v>59</v>
      </c>
      <c r="B86" s="192"/>
      <c r="C86" s="192"/>
      <c r="D86" s="193"/>
      <c r="E86" s="17"/>
      <c r="F86" s="183" t="s">
        <v>60</v>
      </c>
      <c r="G86" s="184"/>
      <c r="H86" s="185"/>
    </row>
    <row r="87" spans="1:8" x14ac:dyDescent="0.3">
      <c r="A87" s="21" t="s">
        <v>21</v>
      </c>
      <c r="B87" s="22" t="s">
        <v>22</v>
      </c>
      <c r="C87" s="22" t="s">
        <v>23</v>
      </c>
      <c r="D87" s="23" t="s">
        <v>25</v>
      </c>
      <c r="E87" s="41"/>
      <c r="F87" s="186"/>
      <c r="G87" s="187"/>
      <c r="H87" s="188"/>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78" t="s">
        <v>61</v>
      </c>
      <c r="B103" s="179"/>
      <c r="C103" s="179"/>
      <c r="D103" s="96">
        <f>SUM(Boarding_67[Amount])</f>
        <v>0</v>
      </c>
      <c r="E103" s="34"/>
      <c r="F103" s="173" t="s">
        <v>33</v>
      </c>
      <c r="G103" s="174"/>
      <c r="H103" s="174"/>
    </row>
    <row r="104" spans="1:8" x14ac:dyDescent="0.3">
      <c r="A104" s="38"/>
      <c r="B104" s="38"/>
      <c r="C104" s="38"/>
      <c r="D104" s="39"/>
      <c r="E104" s="40"/>
      <c r="F104" s="173"/>
      <c r="G104" s="174"/>
      <c r="H104" s="174"/>
    </row>
    <row r="105" spans="1:8" ht="17.399999999999999" x14ac:dyDescent="0.3">
      <c r="A105" s="191" t="s">
        <v>70</v>
      </c>
      <c r="B105" s="192"/>
      <c r="C105" s="192"/>
      <c r="D105" s="193"/>
      <c r="E105" s="17"/>
      <c r="F105" s="183" t="s">
        <v>62</v>
      </c>
      <c r="G105" s="184"/>
      <c r="H105" s="185"/>
    </row>
    <row r="106" spans="1:8" x14ac:dyDescent="0.3">
      <c r="A106" s="21" t="s">
        <v>21</v>
      </c>
      <c r="B106" s="22" t="s">
        <v>22</v>
      </c>
      <c r="C106" s="22" t="s">
        <v>23</v>
      </c>
      <c r="D106" s="23" t="s">
        <v>25</v>
      </c>
      <c r="E106" s="41"/>
      <c r="F106" s="186"/>
      <c r="G106" s="187"/>
      <c r="H106" s="188"/>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78" t="s">
        <v>63</v>
      </c>
      <c r="B122" s="179"/>
      <c r="C122" s="179"/>
      <c r="D122" s="96">
        <f>SUM(Fence_67[Amount])</f>
        <v>0</v>
      </c>
      <c r="E122" s="34"/>
      <c r="F122" s="173" t="s">
        <v>33</v>
      </c>
      <c r="G122" s="174"/>
      <c r="H122" s="174"/>
    </row>
    <row r="123" spans="1:8" x14ac:dyDescent="0.3">
      <c r="F123" s="173"/>
      <c r="G123" s="174"/>
      <c r="H123" s="174"/>
    </row>
    <row r="124" spans="1:8" ht="17.399999999999999" x14ac:dyDescent="0.3">
      <c r="A124" s="191" t="s">
        <v>26</v>
      </c>
      <c r="B124" s="192"/>
      <c r="C124" s="192"/>
      <c r="D124" s="193"/>
      <c r="E124" s="17"/>
      <c r="F124" s="183" t="s">
        <v>11</v>
      </c>
      <c r="G124" s="184"/>
      <c r="H124" s="185"/>
    </row>
    <row r="125" spans="1:8" x14ac:dyDescent="0.3">
      <c r="A125" s="21" t="s">
        <v>21</v>
      </c>
      <c r="B125" s="22" t="s">
        <v>22</v>
      </c>
      <c r="C125" s="22" t="s">
        <v>23</v>
      </c>
      <c r="D125" s="23" t="s">
        <v>25</v>
      </c>
      <c r="E125" s="41"/>
      <c r="F125" s="186"/>
      <c r="G125" s="187"/>
      <c r="H125" s="188"/>
    </row>
    <row r="126" spans="1:8" x14ac:dyDescent="0.3">
      <c r="A126" s="100"/>
      <c r="B126" s="101"/>
      <c r="C126" s="101"/>
      <c r="D126" s="112">
        <v>25850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78" t="s">
        <v>27</v>
      </c>
      <c r="B141" s="179"/>
      <c r="C141" s="179"/>
      <c r="D141" s="96">
        <f>SUM(Demolition_67[Amount])</f>
        <v>25850</v>
      </c>
      <c r="E141" s="34"/>
      <c r="F141" s="173" t="s">
        <v>33</v>
      </c>
      <c r="G141" s="174"/>
      <c r="H141" s="174"/>
    </row>
    <row r="142" spans="1:8" x14ac:dyDescent="0.3">
      <c r="A142" s="38"/>
      <c r="B142" s="38"/>
      <c r="C142" s="38"/>
      <c r="D142" s="39"/>
      <c r="E142" s="40"/>
      <c r="F142" s="173"/>
      <c r="G142" s="174"/>
      <c r="H142" s="174"/>
    </row>
    <row r="143" spans="1:8" ht="17.399999999999999" x14ac:dyDescent="0.3">
      <c r="A143" s="191" t="s">
        <v>64</v>
      </c>
      <c r="B143" s="192"/>
      <c r="C143" s="192"/>
      <c r="D143" s="193"/>
      <c r="E143" s="17"/>
      <c r="F143" s="183" t="s">
        <v>44</v>
      </c>
      <c r="G143" s="184"/>
      <c r="H143" s="185"/>
    </row>
    <row r="144" spans="1:8" x14ac:dyDescent="0.3">
      <c r="A144" s="21" t="s">
        <v>21</v>
      </c>
      <c r="B144" s="22" t="s">
        <v>22</v>
      </c>
      <c r="C144" s="22" t="s">
        <v>23</v>
      </c>
      <c r="D144" s="23" t="s">
        <v>25</v>
      </c>
      <c r="E144" s="41"/>
      <c r="F144" s="186"/>
      <c r="G144" s="187"/>
      <c r="H144" s="188"/>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78" t="s">
        <v>65</v>
      </c>
      <c r="B160" s="179"/>
      <c r="C160" s="179"/>
      <c r="D160" s="96">
        <f>SUM(Rehab_67[Amount])</f>
        <v>0</v>
      </c>
      <c r="E160" s="34"/>
      <c r="F160" s="173" t="s">
        <v>33</v>
      </c>
      <c r="G160" s="174"/>
      <c r="H160" s="174"/>
    </row>
    <row r="161" spans="6:8" x14ac:dyDescent="0.3">
      <c r="F161" s="173"/>
      <c r="G161" s="174"/>
      <c r="H161" s="174"/>
    </row>
  </sheetData>
  <sheetProtection algorithmName="SHA-512" hashValue="PCKbfWX2w65y2u/2bOp9hTsNenlW4zAt7tIq/pCGRQSsuz9J7BPQDLzFSIB4WyZCTtqEqvdI06Ih2m2UBcNMHw==" saltValue="Guoj0rrGhSm3Wx9OcYuZLg=="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pageSetUpPr fitToPage="1"/>
  </sheetPr>
  <dimension ref="A1:N161"/>
  <sheetViews>
    <sheetView showGridLines="0" zoomScaleNormal="100" workbookViewId="0">
      <pane ySplit="9" topLeftCell="A121"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5" t="s">
        <v>24</v>
      </c>
      <c r="B1" s="175"/>
      <c r="C1" s="175"/>
      <c r="D1" s="175"/>
      <c r="E1" s="1"/>
      <c r="F1" s="2"/>
      <c r="G1" s="2"/>
      <c r="H1" s="1"/>
    </row>
    <row r="2" spans="1:14" ht="24.9" customHeight="1" x14ac:dyDescent="0.3">
      <c r="A2" s="176" t="s">
        <v>71</v>
      </c>
      <c r="B2" s="176"/>
      <c r="C2" s="176"/>
      <c r="D2" s="176"/>
      <c r="E2" s="4"/>
      <c r="F2" s="120"/>
      <c r="G2" s="120"/>
      <c r="H2" s="5"/>
    </row>
    <row r="3" spans="1:14" ht="31.5" customHeight="1" x14ac:dyDescent="0.3">
      <c r="A3" s="176"/>
      <c r="B3" s="176"/>
      <c r="C3" s="176"/>
      <c r="D3" s="176"/>
      <c r="E3" s="4"/>
      <c r="F3" s="120"/>
      <c r="G3" s="120"/>
      <c r="H3" s="5"/>
    </row>
    <row r="4" spans="1:14" ht="15" customHeight="1" x14ac:dyDescent="0.25">
      <c r="A4" s="75" t="s">
        <v>19</v>
      </c>
      <c r="B4" s="194" t="str">
        <f>IF('Summary Sheet'!B100="","",'Summary Sheet'!B100)</f>
        <v>2629 W HOMER ST</v>
      </c>
      <c r="C4" s="194"/>
      <c r="D4" s="120"/>
      <c r="E4" s="4"/>
      <c r="F4" s="120"/>
      <c r="G4" s="120"/>
      <c r="H4" s="5"/>
    </row>
    <row r="5" spans="1:14" ht="15" customHeight="1" x14ac:dyDescent="0.25">
      <c r="A5" s="75" t="s">
        <v>20</v>
      </c>
      <c r="B5" s="195" t="str">
        <f>IF('Summary Sheet'!C100="","",'Summary Sheet'!C100)</f>
        <v/>
      </c>
      <c r="C5" s="195"/>
      <c r="D5" s="120"/>
      <c r="E5" s="4"/>
      <c r="F5" s="120"/>
      <c r="G5" s="120"/>
      <c r="H5" s="5"/>
    </row>
    <row r="6" spans="1:14" ht="15" customHeight="1" x14ac:dyDescent="0.25">
      <c r="A6" s="75" t="s">
        <v>36</v>
      </c>
      <c r="B6" s="177"/>
      <c r="C6" s="177"/>
      <c r="D6" s="6"/>
      <c r="E6" s="7"/>
    </row>
    <row r="7" spans="1:14" ht="15" customHeight="1" x14ac:dyDescent="0.25">
      <c r="A7" s="7"/>
      <c r="B7" s="196" t="s">
        <v>34</v>
      </c>
      <c r="C7" s="196"/>
      <c r="D7" s="10"/>
    </row>
    <row r="8" spans="1:14" ht="20.100000000000001" customHeight="1" x14ac:dyDescent="0.25">
      <c r="B8" s="11"/>
      <c r="C8" s="11"/>
      <c r="D8" s="12" t="s">
        <v>31</v>
      </c>
      <c r="F8" s="180" t="s">
        <v>32</v>
      </c>
      <c r="G8" s="181"/>
      <c r="H8" s="182"/>
    </row>
    <row r="9" spans="1:14" s="14" customFormat="1" ht="20.100000000000001" customHeight="1" x14ac:dyDescent="0.25">
      <c r="A9" s="197"/>
      <c r="B9" s="197"/>
      <c r="C9" s="197"/>
      <c r="D9" s="13">
        <f>SUM(D27,D46,D65,D84,D103,D122,D141,D160)</f>
        <v>49510</v>
      </c>
      <c r="F9" s="15" t="s">
        <v>28</v>
      </c>
      <c r="G9" s="15" t="s">
        <v>29</v>
      </c>
      <c r="H9" s="15" t="s">
        <v>30</v>
      </c>
      <c r="I9" s="16"/>
      <c r="J9" s="16"/>
      <c r="K9" s="16"/>
      <c r="L9" s="16"/>
      <c r="M9" s="16"/>
      <c r="N9" s="16"/>
    </row>
    <row r="10" spans="1:14" s="17" customFormat="1" ht="23.1" customHeight="1" x14ac:dyDescent="0.3">
      <c r="A10" s="198" t="s">
        <v>51</v>
      </c>
      <c r="B10" s="198"/>
      <c r="C10" s="198"/>
      <c r="D10" s="198"/>
      <c r="F10" s="183" t="s">
        <v>66</v>
      </c>
      <c r="G10" s="184"/>
      <c r="H10" s="185"/>
      <c r="I10" s="18"/>
      <c r="J10" s="18"/>
      <c r="K10" s="18"/>
      <c r="L10" s="18"/>
      <c r="M10" s="19"/>
      <c r="N10" s="20"/>
    </row>
    <row r="11" spans="1:14" s="24" customFormat="1" ht="12.75" customHeight="1" x14ac:dyDescent="0.25">
      <c r="A11" s="21" t="s">
        <v>21</v>
      </c>
      <c r="B11" s="22" t="s">
        <v>22</v>
      </c>
      <c r="C11" s="22" t="s">
        <v>23</v>
      </c>
      <c r="D11" s="23" t="s">
        <v>25</v>
      </c>
      <c r="F11" s="186"/>
      <c r="G11" s="187"/>
      <c r="H11" s="188"/>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78" t="s">
        <v>53</v>
      </c>
      <c r="B27" s="179"/>
      <c r="C27" s="179"/>
      <c r="D27" s="96">
        <f>SUM(Grass_68[Amount])</f>
        <v>0</v>
      </c>
      <c r="F27" s="173" t="s">
        <v>33</v>
      </c>
      <c r="G27" s="174"/>
      <c r="H27" s="174"/>
      <c r="I27" s="35"/>
      <c r="J27" s="35"/>
      <c r="K27" s="35"/>
      <c r="L27" s="35"/>
      <c r="M27" s="36"/>
      <c r="N27" s="37"/>
    </row>
    <row r="28" spans="1:14" s="40" customFormat="1" ht="11.1" customHeight="1" x14ac:dyDescent="0.3">
      <c r="A28" s="38"/>
      <c r="B28" s="38"/>
      <c r="C28" s="38"/>
      <c r="D28" s="39"/>
      <c r="F28" s="173"/>
      <c r="G28" s="174"/>
      <c r="H28" s="174"/>
      <c r="I28" s="35"/>
      <c r="J28" s="35"/>
      <c r="K28" s="35"/>
      <c r="L28" s="35"/>
      <c r="M28" s="36"/>
      <c r="N28" s="37"/>
    </row>
    <row r="29" spans="1:14" s="17" customFormat="1" ht="23.1" customHeight="1" x14ac:dyDescent="0.3">
      <c r="A29" s="191" t="s">
        <v>67</v>
      </c>
      <c r="B29" s="192"/>
      <c r="C29" s="192"/>
      <c r="D29" s="193"/>
      <c r="F29" s="183" t="s">
        <v>52</v>
      </c>
      <c r="G29" s="184"/>
      <c r="H29" s="185"/>
      <c r="I29" s="18"/>
      <c r="J29" s="18"/>
      <c r="K29" s="18"/>
      <c r="L29" s="18"/>
      <c r="M29" s="19"/>
      <c r="N29" s="20"/>
    </row>
    <row r="30" spans="1:14" s="41" customFormat="1" ht="12.75" customHeight="1" x14ac:dyDescent="0.25">
      <c r="A30" s="21" t="s">
        <v>21</v>
      </c>
      <c r="B30" s="22" t="s">
        <v>22</v>
      </c>
      <c r="C30" s="22" t="s">
        <v>23</v>
      </c>
      <c r="D30" s="23" t="s">
        <v>25</v>
      </c>
      <c r="F30" s="186"/>
      <c r="G30" s="187"/>
      <c r="H30" s="188"/>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19"/>
      <c r="J44" s="29"/>
      <c r="K44" s="29"/>
      <c r="L44" s="119"/>
      <c r="M44" s="30"/>
      <c r="N44" s="16"/>
    </row>
    <row r="45" spans="1:14" x14ac:dyDescent="0.3">
      <c r="A45" s="106"/>
      <c r="B45" s="107"/>
      <c r="C45" s="107"/>
      <c r="D45" s="114"/>
      <c r="F45" s="103"/>
      <c r="G45" s="104"/>
      <c r="H45" s="109"/>
      <c r="I45" s="119"/>
      <c r="J45" s="29"/>
      <c r="K45" s="29"/>
      <c r="L45" s="119"/>
      <c r="M45" s="30"/>
      <c r="N45" s="16"/>
    </row>
    <row r="46" spans="1:14" s="34" customFormat="1" x14ac:dyDescent="0.3">
      <c r="A46" s="178" t="s">
        <v>54</v>
      </c>
      <c r="B46" s="179"/>
      <c r="C46" s="179"/>
      <c r="D46" s="96">
        <f>SUM(Tree_68[Amount])</f>
        <v>0</v>
      </c>
      <c r="F46" s="173" t="s">
        <v>33</v>
      </c>
      <c r="G46" s="174"/>
      <c r="H46" s="174"/>
      <c r="I46" s="43"/>
      <c r="J46" s="43"/>
      <c r="K46" s="43"/>
      <c r="L46" s="43"/>
      <c r="M46" s="36"/>
      <c r="N46" s="37"/>
    </row>
    <row r="47" spans="1:14" s="40" customFormat="1" ht="11.1" customHeight="1" x14ac:dyDescent="0.3">
      <c r="A47" s="38"/>
      <c r="B47" s="38"/>
      <c r="C47" s="38"/>
      <c r="D47" s="39"/>
      <c r="F47" s="173"/>
      <c r="G47" s="174"/>
      <c r="H47" s="174"/>
      <c r="I47" s="43"/>
      <c r="J47" s="43"/>
      <c r="K47" s="43"/>
      <c r="L47" s="43"/>
      <c r="M47" s="36"/>
      <c r="N47" s="37"/>
    </row>
    <row r="48" spans="1:14" s="17" customFormat="1" ht="23.1" customHeight="1" x14ac:dyDescent="0.3">
      <c r="A48" s="191" t="s">
        <v>68</v>
      </c>
      <c r="B48" s="192"/>
      <c r="C48" s="192"/>
      <c r="D48" s="193"/>
      <c r="F48" s="183" t="s">
        <v>55</v>
      </c>
      <c r="G48" s="184"/>
      <c r="H48" s="185"/>
      <c r="I48" s="44"/>
      <c r="J48" s="44"/>
      <c r="K48" s="44"/>
      <c r="L48" s="44"/>
      <c r="M48" s="19"/>
      <c r="N48" s="20"/>
    </row>
    <row r="49" spans="1:14" s="41" customFormat="1" ht="12.75" customHeight="1" x14ac:dyDescent="0.25">
      <c r="A49" s="21" t="s">
        <v>21</v>
      </c>
      <c r="B49" s="22" t="s">
        <v>22</v>
      </c>
      <c r="C49" s="22" t="s">
        <v>23</v>
      </c>
      <c r="D49" s="23" t="s">
        <v>25</v>
      </c>
      <c r="F49" s="186"/>
      <c r="G49" s="187"/>
      <c r="H49" s="188"/>
      <c r="I49" s="119"/>
      <c r="J49" s="119"/>
      <c r="K49" s="119"/>
      <c r="L49" s="119"/>
      <c r="M49" s="30"/>
      <c r="N49" s="42"/>
    </row>
    <row r="50" spans="1:14" x14ac:dyDescent="0.3">
      <c r="A50" s="100"/>
      <c r="B50" s="101"/>
      <c r="C50" s="101"/>
      <c r="D50" s="112"/>
      <c r="F50" s="103"/>
      <c r="G50" s="104"/>
      <c r="H50" s="109"/>
      <c r="I50" s="119"/>
      <c r="J50" s="119"/>
      <c r="K50" s="119"/>
      <c r="L50" s="119"/>
      <c r="M50" s="30"/>
      <c r="N50" s="16"/>
    </row>
    <row r="51" spans="1:14" x14ac:dyDescent="0.3">
      <c r="A51" s="106"/>
      <c r="B51" s="107"/>
      <c r="C51" s="107"/>
      <c r="D51" s="113"/>
      <c r="F51" s="103"/>
      <c r="G51" s="104"/>
      <c r="H51" s="109"/>
      <c r="I51" s="119"/>
      <c r="J51" s="119"/>
      <c r="K51" s="119"/>
      <c r="L51" s="119"/>
      <c r="M51" s="30"/>
      <c r="N51" s="16"/>
    </row>
    <row r="52" spans="1:14" x14ac:dyDescent="0.3">
      <c r="A52" s="106"/>
      <c r="B52" s="107"/>
      <c r="C52" s="107"/>
      <c r="D52" s="114"/>
      <c r="F52" s="103"/>
      <c r="H52" s="109"/>
      <c r="I52" s="119"/>
      <c r="J52" s="119"/>
      <c r="K52" s="119"/>
      <c r="L52" s="119"/>
      <c r="M52" s="30"/>
      <c r="N52" s="16"/>
    </row>
    <row r="53" spans="1:14" x14ac:dyDescent="0.3">
      <c r="A53" s="106"/>
      <c r="B53" s="107"/>
      <c r="C53" s="107"/>
      <c r="D53" s="113"/>
      <c r="F53" s="103"/>
      <c r="G53" s="104"/>
      <c r="H53" s="109"/>
      <c r="I53" s="119"/>
      <c r="J53" s="119"/>
      <c r="K53" s="119"/>
      <c r="L53" s="119"/>
      <c r="M53" s="30"/>
      <c r="N53" s="16"/>
    </row>
    <row r="54" spans="1:14" x14ac:dyDescent="0.3">
      <c r="A54" s="106"/>
      <c r="B54" s="107"/>
      <c r="C54" s="107"/>
      <c r="D54" s="114"/>
      <c r="F54" s="103"/>
      <c r="G54" s="104"/>
      <c r="H54" s="109"/>
      <c r="I54" s="119"/>
      <c r="J54" s="119"/>
      <c r="K54" s="119"/>
      <c r="L54" s="119"/>
      <c r="M54" s="30"/>
      <c r="N54" s="16"/>
    </row>
    <row r="55" spans="1:14" x14ac:dyDescent="0.3">
      <c r="A55" s="106"/>
      <c r="B55" s="107"/>
      <c r="C55" s="107"/>
      <c r="D55" s="113"/>
      <c r="F55" s="103"/>
      <c r="G55" s="104"/>
      <c r="H55" s="109"/>
      <c r="I55" s="119"/>
      <c r="J55" s="119"/>
      <c r="K55" s="119"/>
      <c r="L55" s="119"/>
      <c r="M55" s="30"/>
      <c r="N55" s="16"/>
    </row>
    <row r="56" spans="1:14" x14ac:dyDescent="0.3">
      <c r="A56" s="106"/>
      <c r="B56" s="107"/>
      <c r="C56" s="107"/>
      <c r="D56" s="114"/>
      <c r="F56" s="103"/>
      <c r="G56" s="104"/>
      <c r="H56" s="109"/>
      <c r="I56" s="119"/>
      <c r="J56" s="119"/>
      <c r="K56" s="119"/>
      <c r="L56" s="119"/>
      <c r="M56" s="30"/>
      <c r="N56" s="16"/>
    </row>
    <row r="57" spans="1:14" x14ac:dyDescent="0.3">
      <c r="A57" s="106"/>
      <c r="B57" s="107"/>
      <c r="C57" s="107"/>
      <c r="D57" s="113"/>
      <c r="F57" s="103"/>
      <c r="G57" s="104"/>
      <c r="H57" s="109"/>
      <c r="I57" s="119"/>
      <c r="J57" s="119"/>
      <c r="K57" s="119"/>
      <c r="L57" s="119"/>
      <c r="M57" s="30"/>
      <c r="N57" s="16"/>
    </row>
    <row r="58" spans="1:14" x14ac:dyDescent="0.3">
      <c r="A58" s="106"/>
      <c r="B58" s="107"/>
      <c r="C58" s="107"/>
      <c r="D58" s="114"/>
      <c r="F58" s="103"/>
      <c r="G58" s="104"/>
      <c r="H58" s="109"/>
      <c r="I58" s="119"/>
      <c r="J58" s="119"/>
      <c r="K58" s="119"/>
      <c r="L58" s="119"/>
      <c r="M58" s="30"/>
      <c r="N58" s="16"/>
    </row>
    <row r="59" spans="1:14" x14ac:dyDescent="0.3">
      <c r="A59" s="106"/>
      <c r="B59" s="107"/>
      <c r="C59" s="107"/>
      <c r="D59" s="113"/>
      <c r="F59" s="103"/>
      <c r="G59" s="104"/>
      <c r="H59" s="109"/>
      <c r="I59" s="119"/>
      <c r="J59" s="190"/>
      <c r="K59" s="190"/>
      <c r="L59" s="119"/>
      <c r="M59" s="30"/>
      <c r="N59" s="16"/>
    </row>
    <row r="60" spans="1:14" x14ac:dyDescent="0.3">
      <c r="A60" s="106"/>
      <c r="B60" s="107"/>
      <c r="C60" s="107"/>
      <c r="D60" s="114"/>
      <c r="F60" s="103"/>
      <c r="G60" s="104"/>
      <c r="H60" s="109"/>
      <c r="I60" s="189"/>
      <c r="J60" s="189"/>
      <c r="K60" s="189"/>
      <c r="L60" s="189"/>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78" t="s">
        <v>56</v>
      </c>
      <c r="B65" s="179"/>
      <c r="C65" s="179"/>
      <c r="D65" s="96">
        <f>SUM(Pest_68[Amount])</f>
        <v>0</v>
      </c>
      <c r="F65" s="173" t="s">
        <v>33</v>
      </c>
      <c r="G65" s="174"/>
      <c r="H65" s="174"/>
    </row>
    <row r="66" spans="1:8" x14ac:dyDescent="0.3">
      <c r="F66" s="173"/>
      <c r="G66" s="174"/>
      <c r="H66" s="174"/>
    </row>
    <row r="67" spans="1:8" ht="17.399999999999999" x14ac:dyDescent="0.3">
      <c r="A67" s="198" t="s">
        <v>69</v>
      </c>
      <c r="B67" s="198"/>
      <c r="C67" s="198"/>
      <c r="D67" s="198"/>
      <c r="E67" s="17"/>
      <c r="F67" s="183" t="s">
        <v>57</v>
      </c>
      <c r="G67" s="184"/>
      <c r="H67" s="185"/>
    </row>
    <row r="68" spans="1:8" x14ac:dyDescent="0.3">
      <c r="A68" s="21" t="s">
        <v>21</v>
      </c>
      <c r="B68" s="22" t="s">
        <v>22</v>
      </c>
      <c r="C68" s="22" t="s">
        <v>23</v>
      </c>
      <c r="D68" s="23" t="s">
        <v>25</v>
      </c>
      <c r="E68" s="24"/>
      <c r="F68" s="186"/>
      <c r="G68" s="187"/>
      <c r="H68" s="188"/>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78" t="s">
        <v>58</v>
      </c>
      <c r="B84" s="179"/>
      <c r="C84" s="179"/>
      <c r="D84" s="96">
        <f>SUM(Garbage_68[Amount])</f>
        <v>0</v>
      </c>
      <c r="E84" s="34"/>
      <c r="F84" s="173" t="s">
        <v>33</v>
      </c>
      <c r="G84" s="174"/>
      <c r="H84" s="174"/>
    </row>
    <row r="85" spans="1:8" x14ac:dyDescent="0.3">
      <c r="A85" s="38"/>
      <c r="B85" s="38"/>
      <c r="C85" s="38"/>
      <c r="D85" s="39"/>
      <c r="E85" s="40"/>
      <c r="F85" s="173"/>
      <c r="G85" s="174"/>
      <c r="H85" s="174"/>
    </row>
    <row r="86" spans="1:8" ht="17.399999999999999" x14ac:dyDescent="0.3">
      <c r="A86" s="191" t="s">
        <v>59</v>
      </c>
      <c r="B86" s="192"/>
      <c r="C86" s="192"/>
      <c r="D86" s="193"/>
      <c r="E86" s="17"/>
      <c r="F86" s="183" t="s">
        <v>60</v>
      </c>
      <c r="G86" s="184"/>
      <c r="H86" s="185"/>
    </row>
    <row r="87" spans="1:8" x14ac:dyDescent="0.3">
      <c r="A87" s="21" t="s">
        <v>21</v>
      </c>
      <c r="B87" s="22" t="s">
        <v>22</v>
      </c>
      <c r="C87" s="22" t="s">
        <v>23</v>
      </c>
      <c r="D87" s="23" t="s">
        <v>25</v>
      </c>
      <c r="E87" s="41"/>
      <c r="F87" s="186"/>
      <c r="G87" s="187"/>
      <c r="H87" s="188"/>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78" t="s">
        <v>61</v>
      </c>
      <c r="B103" s="179"/>
      <c r="C103" s="179"/>
      <c r="D103" s="96">
        <f>SUM(Boarding_68[Amount])</f>
        <v>0</v>
      </c>
      <c r="E103" s="34"/>
      <c r="F103" s="173" t="s">
        <v>33</v>
      </c>
      <c r="G103" s="174"/>
      <c r="H103" s="174"/>
    </row>
    <row r="104" spans="1:8" x14ac:dyDescent="0.3">
      <c r="A104" s="38"/>
      <c r="B104" s="38"/>
      <c r="C104" s="38"/>
      <c r="D104" s="39"/>
      <c r="E104" s="40"/>
      <c r="F104" s="173"/>
      <c r="G104" s="174"/>
      <c r="H104" s="174"/>
    </row>
    <row r="105" spans="1:8" ht="17.399999999999999" x14ac:dyDescent="0.3">
      <c r="A105" s="191" t="s">
        <v>70</v>
      </c>
      <c r="B105" s="192"/>
      <c r="C105" s="192"/>
      <c r="D105" s="193"/>
      <c r="E105" s="17"/>
      <c r="F105" s="183" t="s">
        <v>62</v>
      </c>
      <c r="G105" s="184"/>
      <c r="H105" s="185"/>
    </row>
    <row r="106" spans="1:8" x14ac:dyDescent="0.3">
      <c r="A106" s="21" t="s">
        <v>21</v>
      </c>
      <c r="B106" s="22" t="s">
        <v>22</v>
      </c>
      <c r="C106" s="22" t="s">
        <v>23</v>
      </c>
      <c r="D106" s="23" t="s">
        <v>25</v>
      </c>
      <c r="E106" s="41"/>
      <c r="F106" s="186"/>
      <c r="G106" s="187"/>
      <c r="H106" s="188"/>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78" t="s">
        <v>63</v>
      </c>
      <c r="B122" s="179"/>
      <c r="C122" s="179"/>
      <c r="D122" s="96">
        <f>SUM(Fence_68[Amount])</f>
        <v>0</v>
      </c>
      <c r="E122" s="34"/>
      <c r="F122" s="173" t="s">
        <v>33</v>
      </c>
      <c r="G122" s="174"/>
      <c r="H122" s="174"/>
    </row>
    <row r="123" spans="1:8" x14ac:dyDescent="0.3">
      <c r="F123" s="173"/>
      <c r="G123" s="174"/>
      <c r="H123" s="174"/>
    </row>
    <row r="124" spans="1:8" ht="17.399999999999999" x14ac:dyDescent="0.3">
      <c r="A124" s="191" t="s">
        <v>26</v>
      </c>
      <c r="B124" s="192"/>
      <c r="C124" s="192"/>
      <c r="D124" s="193"/>
      <c r="E124" s="17"/>
      <c r="F124" s="183" t="s">
        <v>11</v>
      </c>
      <c r="G124" s="184"/>
      <c r="H124" s="185"/>
    </row>
    <row r="125" spans="1:8" x14ac:dyDescent="0.3">
      <c r="A125" s="21" t="s">
        <v>21</v>
      </c>
      <c r="B125" s="22" t="s">
        <v>22</v>
      </c>
      <c r="C125" s="22" t="s">
        <v>23</v>
      </c>
      <c r="D125" s="23" t="s">
        <v>25</v>
      </c>
      <c r="E125" s="41"/>
      <c r="F125" s="186"/>
      <c r="G125" s="187"/>
      <c r="H125" s="188"/>
    </row>
    <row r="126" spans="1:8" x14ac:dyDescent="0.3">
      <c r="A126" s="100"/>
      <c r="B126" s="101"/>
      <c r="C126" s="101"/>
      <c r="D126" s="112">
        <v>49510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78" t="s">
        <v>27</v>
      </c>
      <c r="B141" s="179"/>
      <c r="C141" s="179"/>
      <c r="D141" s="96">
        <f>SUM(Demolition_68[Amount])</f>
        <v>49510</v>
      </c>
      <c r="E141" s="34"/>
      <c r="F141" s="173" t="s">
        <v>33</v>
      </c>
      <c r="G141" s="174"/>
      <c r="H141" s="174"/>
    </row>
    <row r="142" spans="1:8" x14ac:dyDescent="0.3">
      <c r="A142" s="38"/>
      <c r="B142" s="38"/>
      <c r="C142" s="38"/>
      <c r="D142" s="39"/>
      <c r="E142" s="40"/>
      <c r="F142" s="173"/>
      <c r="G142" s="174"/>
      <c r="H142" s="174"/>
    </row>
    <row r="143" spans="1:8" ht="17.399999999999999" x14ac:dyDescent="0.3">
      <c r="A143" s="191" t="s">
        <v>64</v>
      </c>
      <c r="B143" s="192"/>
      <c r="C143" s="192"/>
      <c r="D143" s="193"/>
      <c r="E143" s="17"/>
      <c r="F143" s="183" t="s">
        <v>44</v>
      </c>
      <c r="G143" s="184"/>
      <c r="H143" s="185"/>
    </row>
    <row r="144" spans="1:8" x14ac:dyDescent="0.3">
      <c r="A144" s="21" t="s">
        <v>21</v>
      </c>
      <c r="B144" s="22" t="s">
        <v>22</v>
      </c>
      <c r="C144" s="22" t="s">
        <v>23</v>
      </c>
      <c r="D144" s="23" t="s">
        <v>25</v>
      </c>
      <c r="E144" s="41"/>
      <c r="F144" s="186"/>
      <c r="G144" s="187"/>
      <c r="H144" s="188"/>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78" t="s">
        <v>65</v>
      </c>
      <c r="B160" s="179"/>
      <c r="C160" s="179"/>
      <c r="D160" s="96">
        <f>SUM(Rehab_68[Amount])</f>
        <v>0</v>
      </c>
      <c r="E160" s="34"/>
      <c r="F160" s="173" t="s">
        <v>33</v>
      </c>
      <c r="G160" s="174"/>
      <c r="H160" s="174"/>
    </row>
    <row r="161" spans="6:8" x14ac:dyDescent="0.3">
      <c r="F161" s="173"/>
      <c r="G161" s="174"/>
      <c r="H161" s="174"/>
    </row>
  </sheetData>
  <sheetProtection algorithmName="SHA-512" hashValue="hSimjLtzBwunII2lCqs1ziPG5kj6A4OTaIBrQ6yh9n/8QSj7EKo8P+z0qyF8poxf1IXs+40FQBO8thSOt5bNzQ==" saltValue="2cv8EjA9rLj8HOba0yzMOw=="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N161"/>
  <sheetViews>
    <sheetView showGridLines="0" zoomScaleNormal="100" workbookViewId="0">
      <pane ySplit="9" topLeftCell="A121" activePane="bottomLeft" state="frozen"/>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5" t="s">
        <v>24</v>
      </c>
      <c r="B1" s="175"/>
      <c r="C1" s="175"/>
      <c r="D1" s="175"/>
      <c r="E1" s="1"/>
      <c r="F1" s="2"/>
      <c r="G1" s="2"/>
      <c r="H1" s="1"/>
    </row>
    <row r="2" spans="1:14" ht="24.9" customHeight="1" x14ac:dyDescent="0.3">
      <c r="A2" s="176" t="s">
        <v>71</v>
      </c>
      <c r="B2" s="176"/>
      <c r="C2" s="176"/>
      <c r="D2" s="176"/>
      <c r="E2" s="4"/>
      <c r="F2" s="90"/>
      <c r="G2" s="90"/>
      <c r="H2" s="5"/>
    </row>
    <row r="3" spans="1:14" ht="31.5" customHeight="1" x14ac:dyDescent="0.3">
      <c r="A3" s="176"/>
      <c r="B3" s="176"/>
      <c r="C3" s="176"/>
      <c r="D3" s="176"/>
      <c r="E3" s="4"/>
      <c r="F3" s="90"/>
      <c r="G3" s="90"/>
      <c r="H3" s="5"/>
    </row>
    <row r="4" spans="1:14" ht="15" customHeight="1" x14ac:dyDescent="0.25">
      <c r="A4" s="75" t="s">
        <v>19</v>
      </c>
      <c r="B4" s="194" t="str">
        <f>IF('Summary Sheet'!B38="","",'Summary Sheet'!B38)</f>
        <v>1300 S SPRINGFIELD AVE</v>
      </c>
      <c r="C4" s="194"/>
      <c r="D4" s="90"/>
      <c r="E4" s="4"/>
      <c r="F4" s="90"/>
      <c r="G4" s="90"/>
      <c r="H4" s="5"/>
    </row>
    <row r="5" spans="1:14" ht="15" customHeight="1" x14ac:dyDescent="0.25">
      <c r="A5" s="75" t="s">
        <v>20</v>
      </c>
      <c r="B5" s="195" t="str">
        <f>IF('Summary Sheet'!C38="","",'Summary Sheet'!C38)</f>
        <v/>
      </c>
      <c r="C5" s="195"/>
      <c r="D5" s="90"/>
      <c r="E5" s="4"/>
      <c r="F5" s="90"/>
      <c r="G5" s="90"/>
      <c r="H5" s="5"/>
    </row>
    <row r="6" spans="1:14" ht="15" customHeight="1" x14ac:dyDescent="0.25">
      <c r="A6" s="75" t="s">
        <v>36</v>
      </c>
      <c r="B6" s="177"/>
      <c r="C6" s="177"/>
      <c r="D6" s="6"/>
      <c r="E6" s="7"/>
    </row>
    <row r="7" spans="1:14" ht="15" customHeight="1" x14ac:dyDescent="0.25">
      <c r="A7" s="7"/>
      <c r="B7" s="196" t="s">
        <v>34</v>
      </c>
      <c r="C7" s="196"/>
      <c r="D7" s="10"/>
    </row>
    <row r="8" spans="1:14" ht="20.100000000000001" customHeight="1" x14ac:dyDescent="0.25">
      <c r="B8" s="11"/>
      <c r="C8" s="11"/>
      <c r="D8" s="12" t="s">
        <v>31</v>
      </c>
      <c r="F8" s="180" t="s">
        <v>32</v>
      </c>
      <c r="G8" s="181"/>
      <c r="H8" s="182"/>
    </row>
    <row r="9" spans="1:14" s="14" customFormat="1" ht="20.100000000000001" customHeight="1" x14ac:dyDescent="0.25">
      <c r="A9" s="197"/>
      <c r="B9" s="197"/>
      <c r="C9" s="197"/>
      <c r="D9" s="13">
        <f>SUM(D27,D46,D65,D84,D103,D122,D141,D160)</f>
        <v>34510</v>
      </c>
      <c r="F9" s="15" t="s">
        <v>28</v>
      </c>
      <c r="G9" s="15" t="s">
        <v>29</v>
      </c>
      <c r="H9" s="15" t="s">
        <v>30</v>
      </c>
      <c r="I9" s="16"/>
      <c r="J9" s="16"/>
      <c r="K9" s="16"/>
      <c r="L9" s="16"/>
      <c r="M9" s="16"/>
      <c r="N9" s="16"/>
    </row>
    <row r="10" spans="1:14" s="17" customFormat="1" ht="23.1" customHeight="1" x14ac:dyDescent="0.3">
      <c r="A10" s="198" t="s">
        <v>51</v>
      </c>
      <c r="B10" s="198"/>
      <c r="C10" s="198"/>
      <c r="D10" s="198"/>
      <c r="F10" s="183" t="s">
        <v>66</v>
      </c>
      <c r="G10" s="184"/>
      <c r="H10" s="185"/>
      <c r="I10" s="18"/>
      <c r="J10" s="18"/>
      <c r="K10" s="18"/>
      <c r="L10" s="18"/>
      <c r="M10" s="19"/>
      <c r="N10" s="20"/>
    </row>
    <row r="11" spans="1:14" s="24" customFormat="1" ht="12.75" customHeight="1" x14ac:dyDescent="0.25">
      <c r="A11" s="21" t="s">
        <v>21</v>
      </c>
      <c r="B11" s="22" t="s">
        <v>22</v>
      </c>
      <c r="C11" s="22" t="s">
        <v>23</v>
      </c>
      <c r="D11" s="23" t="s">
        <v>25</v>
      </c>
      <c r="F11" s="186"/>
      <c r="G11" s="187"/>
      <c r="H11" s="188"/>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78" t="s">
        <v>53</v>
      </c>
      <c r="B27" s="179"/>
      <c r="C27" s="179"/>
      <c r="D27" s="96">
        <f>SUM(Grass_6[Amount])</f>
        <v>0</v>
      </c>
      <c r="F27" s="173" t="s">
        <v>33</v>
      </c>
      <c r="G27" s="174"/>
      <c r="H27" s="174"/>
      <c r="I27" s="35"/>
      <c r="J27" s="35"/>
      <c r="K27" s="35"/>
      <c r="L27" s="35"/>
      <c r="M27" s="36"/>
      <c r="N27" s="37"/>
    </row>
    <row r="28" spans="1:14" s="40" customFormat="1" ht="11.1" customHeight="1" x14ac:dyDescent="0.3">
      <c r="A28" s="38"/>
      <c r="B28" s="38"/>
      <c r="C28" s="38"/>
      <c r="D28" s="39"/>
      <c r="F28" s="173"/>
      <c r="G28" s="174"/>
      <c r="H28" s="174"/>
      <c r="I28" s="35"/>
      <c r="J28" s="35"/>
      <c r="K28" s="35"/>
      <c r="L28" s="35"/>
      <c r="M28" s="36"/>
      <c r="N28" s="37"/>
    </row>
    <row r="29" spans="1:14" s="17" customFormat="1" ht="23.1" customHeight="1" x14ac:dyDescent="0.3">
      <c r="A29" s="191" t="s">
        <v>67</v>
      </c>
      <c r="B29" s="192"/>
      <c r="C29" s="192"/>
      <c r="D29" s="193"/>
      <c r="F29" s="183" t="s">
        <v>52</v>
      </c>
      <c r="G29" s="184"/>
      <c r="H29" s="185"/>
      <c r="I29" s="18"/>
      <c r="J29" s="18"/>
      <c r="K29" s="18"/>
      <c r="L29" s="18"/>
      <c r="M29" s="19"/>
      <c r="N29" s="20"/>
    </row>
    <row r="30" spans="1:14" s="41" customFormat="1" ht="12.75" customHeight="1" x14ac:dyDescent="0.25">
      <c r="A30" s="21" t="s">
        <v>21</v>
      </c>
      <c r="B30" s="22" t="s">
        <v>22</v>
      </c>
      <c r="C30" s="22" t="s">
        <v>23</v>
      </c>
      <c r="D30" s="23" t="s">
        <v>25</v>
      </c>
      <c r="F30" s="186"/>
      <c r="G30" s="187"/>
      <c r="H30" s="188"/>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89"/>
      <c r="J44" s="29"/>
      <c r="K44" s="29"/>
      <c r="L44" s="89"/>
      <c r="M44" s="30"/>
      <c r="N44" s="16"/>
    </row>
    <row r="45" spans="1:14" x14ac:dyDescent="0.3">
      <c r="A45" s="106"/>
      <c r="B45" s="107"/>
      <c r="C45" s="107"/>
      <c r="D45" s="114"/>
      <c r="F45" s="103"/>
      <c r="G45" s="104"/>
      <c r="H45" s="109"/>
      <c r="I45" s="89"/>
      <c r="J45" s="29"/>
      <c r="K45" s="29"/>
      <c r="L45" s="89"/>
      <c r="M45" s="30"/>
      <c r="N45" s="16"/>
    </row>
    <row r="46" spans="1:14" s="34" customFormat="1" x14ac:dyDescent="0.3">
      <c r="A46" s="178" t="s">
        <v>54</v>
      </c>
      <c r="B46" s="179"/>
      <c r="C46" s="179"/>
      <c r="D46" s="96">
        <f>SUM(Tree_6[Amount])</f>
        <v>0</v>
      </c>
      <c r="F46" s="173" t="s">
        <v>33</v>
      </c>
      <c r="G46" s="174"/>
      <c r="H46" s="174"/>
      <c r="I46" s="43"/>
      <c r="J46" s="43"/>
      <c r="K46" s="43"/>
      <c r="L46" s="43"/>
      <c r="M46" s="36"/>
      <c r="N46" s="37"/>
    </row>
    <row r="47" spans="1:14" s="40" customFormat="1" ht="11.1" customHeight="1" x14ac:dyDescent="0.3">
      <c r="A47" s="38"/>
      <c r="B47" s="38"/>
      <c r="C47" s="38"/>
      <c r="D47" s="39"/>
      <c r="F47" s="173"/>
      <c r="G47" s="174"/>
      <c r="H47" s="174"/>
      <c r="I47" s="43"/>
      <c r="J47" s="43"/>
      <c r="K47" s="43"/>
      <c r="L47" s="43"/>
      <c r="M47" s="36"/>
      <c r="N47" s="37"/>
    </row>
    <row r="48" spans="1:14" s="17" customFormat="1" ht="23.1" customHeight="1" x14ac:dyDescent="0.3">
      <c r="A48" s="191" t="s">
        <v>68</v>
      </c>
      <c r="B48" s="192"/>
      <c r="C48" s="192"/>
      <c r="D48" s="193"/>
      <c r="F48" s="183" t="s">
        <v>55</v>
      </c>
      <c r="G48" s="184"/>
      <c r="H48" s="185"/>
      <c r="I48" s="44"/>
      <c r="J48" s="44"/>
      <c r="K48" s="44"/>
      <c r="L48" s="44"/>
      <c r="M48" s="19"/>
      <c r="N48" s="20"/>
    </row>
    <row r="49" spans="1:14" s="41" customFormat="1" ht="12.75" customHeight="1" x14ac:dyDescent="0.25">
      <c r="A49" s="21" t="s">
        <v>21</v>
      </c>
      <c r="B49" s="22" t="s">
        <v>22</v>
      </c>
      <c r="C49" s="22" t="s">
        <v>23</v>
      </c>
      <c r="D49" s="23" t="s">
        <v>25</v>
      </c>
      <c r="F49" s="186"/>
      <c r="G49" s="187"/>
      <c r="H49" s="188"/>
      <c r="I49" s="89"/>
      <c r="J49" s="89"/>
      <c r="K49" s="89"/>
      <c r="L49" s="89"/>
      <c r="M49" s="30"/>
      <c r="N49" s="42"/>
    </row>
    <row r="50" spans="1:14" x14ac:dyDescent="0.3">
      <c r="A50" s="100"/>
      <c r="B50" s="101"/>
      <c r="C50" s="101"/>
      <c r="D50" s="112"/>
      <c r="F50" s="103"/>
      <c r="G50" s="104"/>
      <c r="H50" s="109"/>
      <c r="I50" s="89"/>
      <c r="J50" s="89"/>
      <c r="K50" s="89"/>
      <c r="L50" s="89"/>
      <c r="M50" s="30"/>
      <c r="N50" s="16"/>
    </row>
    <row r="51" spans="1:14" x14ac:dyDescent="0.3">
      <c r="A51" s="106"/>
      <c r="B51" s="107"/>
      <c r="C51" s="107"/>
      <c r="D51" s="113"/>
      <c r="F51" s="103"/>
      <c r="G51" s="104"/>
      <c r="H51" s="109"/>
      <c r="I51" s="89"/>
      <c r="J51" s="89"/>
      <c r="K51" s="89"/>
      <c r="L51" s="89"/>
      <c r="M51" s="30"/>
      <c r="N51" s="16"/>
    </row>
    <row r="52" spans="1:14" x14ac:dyDescent="0.3">
      <c r="A52" s="106"/>
      <c r="B52" s="107"/>
      <c r="C52" s="107"/>
      <c r="D52" s="114"/>
      <c r="F52" s="103"/>
      <c r="H52" s="109"/>
      <c r="I52" s="89"/>
      <c r="J52" s="89"/>
      <c r="K52" s="89"/>
      <c r="L52" s="89"/>
      <c r="M52" s="30"/>
      <c r="N52" s="16"/>
    </row>
    <row r="53" spans="1:14" x14ac:dyDescent="0.3">
      <c r="A53" s="106"/>
      <c r="B53" s="107"/>
      <c r="C53" s="107"/>
      <c r="D53" s="113"/>
      <c r="F53" s="103"/>
      <c r="G53" s="104"/>
      <c r="H53" s="109"/>
      <c r="I53" s="89"/>
      <c r="J53" s="89"/>
      <c r="K53" s="89"/>
      <c r="L53" s="89"/>
      <c r="M53" s="30"/>
      <c r="N53" s="16"/>
    </row>
    <row r="54" spans="1:14" x14ac:dyDescent="0.3">
      <c r="A54" s="106"/>
      <c r="B54" s="107"/>
      <c r="C54" s="107"/>
      <c r="D54" s="114"/>
      <c r="F54" s="103"/>
      <c r="G54" s="104"/>
      <c r="H54" s="109"/>
      <c r="I54" s="89"/>
      <c r="J54" s="89"/>
      <c r="K54" s="89"/>
      <c r="L54" s="89"/>
      <c r="M54" s="30"/>
      <c r="N54" s="16"/>
    </row>
    <row r="55" spans="1:14" x14ac:dyDescent="0.3">
      <c r="A55" s="106"/>
      <c r="B55" s="107"/>
      <c r="C55" s="107"/>
      <c r="D55" s="113"/>
      <c r="F55" s="103"/>
      <c r="G55" s="104"/>
      <c r="H55" s="109"/>
      <c r="I55" s="89"/>
      <c r="J55" s="89"/>
      <c r="K55" s="89"/>
      <c r="L55" s="89"/>
      <c r="M55" s="30"/>
      <c r="N55" s="16"/>
    </row>
    <row r="56" spans="1:14" x14ac:dyDescent="0.3">
      <c r="A56" s="106"/>
      <c r="B56" s="107"/>
      <c r="C56" s="107"/>
      <c r="D56" s="114"/>
      <c r="F56" s="103"/>
      <c r="G56" s="104"/>
      <c r="H56" s="109"/>
      <c r="I56" s="89"/>
      <c r="J56" s="89"/>
      <c r="K56" s="89"/>
      <c r="L56" s="89"/>
      <c r="M56" s="30"/>
      <c r="N56" s="16"/>
    </row>
    <row r="57" spans="1:14" x14ac:dyDescent="0.3">
      <c r="A57" s="106"/>
      <c r="B57" s="107"/>
      <c r="C57" s="107"/>
      <c r="D57" s="113"/>
      <c r="F57" s="103"/>
      <c r="G57" s="104"/>
      <c r="H57" s="109"/>
      <c r="I57" s="89"/>
      <c r="J57" s="89"/>
      <c r="K57" s="89"/>
      <c r="L57" s="89"/>
      <c r="M57" s="30"/>
      <c r="N57" s="16"/>
    </row>
    <row r="58" spans="1:14" x14ac:dyDescent="0.3">
      <c r="A58" s="106"/>
      <c r="B58" s="107"/>
      <c r="C58" s="107"/>
      <c r="D58" s="114"/>
      <c r="F58" s="103"/>
      <c r="G58" s="104"/>
      <c r="H58" s="109"/>
      <c r="I58" s="89"/>
      <c r="J58" s="89"/>
      <c r="K58" s="89"/>
      <c r="L58" s="89"/>
      <c r="M58" s="30"/>
      <c r="N58" s="16"/>
    </row>
    <row r="59" spans="1:14" x14ac:dyDescent="0.3">
      <c r="A59" s="106"/>
      <c r="B59" s="107"/>
      <c r="C59" s="107"/>
      <c r="D59" s="113"/>
      <c r="F59" s="103"/>
      <c r="G59" s="104"/>
      <c r="H59" s="109"/>
      <c r="I59" s="89"/>
      <c r="J59" s="190"/>
      <c r="K59" s="190"/>
      <c r="L59" s="89"/>
      <c r="M59" s="30"/>
      <c r="N59" s="16"/>
    </row>
    <row r="60" spans="1:14" x14ac:dyDescent="0.3">
      <c r="A60" s="106"/>
      <c r="B60" s="107"/>
      <c r="C60" s="107"/>
      <c r="D60" s="114"/>
      <c r="F60" s="103"/>
      <c r="G60" s="104"/>
      <c r="H60" s="109"/>
      <c r="I60" s="189"/>
      <c r="J60" s="189"/>
      <c r="K60" s="189"/>
      <c r="L60" s="189"/>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78" t="s">
        <v>56</v>
      </c>
      <c r="B65" s="179"/>
      <c r="C65" s="179"/>
      <c r="D65" s="96">
        <f>SUM(Pest_6[Amount])</f>
        <v>0</v>
      </c>
      <c r="F65" s="173" t="s">
        <v>33</v>
      </c>
      <c r="G65" s="174"/>
      <c r="H65" s="174"/>
    </row>
    <row r="66" spans="1:8" x14ac:dyDescent="0.3">
      <c r="F66" s="173"/>
      <c r="G66" s="174"/>
      <c r="H66" s="174"/>
    </row>
    <row r="67" spans="1:8" ht="17.399999999999999" x14ac:dyDescent="0.3">
      <c r="A67" s="198" t="s">
        <v>69</v>
      </c>
      <c r="B67" s="198"/>
      <c r="C67" s="198"/>
      <c r="D67" s="198"/>
      <c r="E67" s="17"/>
      <c r="F67" s="183" t="s">
        <v>57</v>
      </c>
      <c r="G67" s="184"/>
      <c r="H67" s="185"/>
    </row>
    <row r="68" spans="1:8" x14ac:dyDescent="0.3">
      <c r="A68" s="21" t="s">
        <v>21</v>
      </c>
      <c r="B68" s="22" t="s">
        <v>22</v>
      </c>
      <c r="C68" s="22" t="s">
        <v>23</v>
      </c>
      <c r="D68" s="23" t="s">
        <v>25</v>
      </c>
      <c r="E68" s="24"/>
      <c r="F68" s="186"/>
      <c r="G68" s="187"/>
      <c r="H68" s="188"/>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78" t="s">
        <v>58</v>
      </c>
      <c r="B84" s="179"/>
      <c r="C84" s="179"/>
      <c r="D84" s="96">
        <f>SUM(Garbage_6[Amount])</f>
        <v>0</v>
      </c>
      <c r="E84" s="34"/>
      <c r="F84" s="173" t="s">
        <v>33</v>
      </c>
      <c r="G84" s="174"/>
      <c r="H84" s="174"/>
    </row>
    <row r="85" spans="1:8" x14ac:dyDescent="0.3">
      <c r="A85" s="38"/>
      <c r="B85" s="38"/>
      <c r="C85" s="38"/>
      <c r="D85" s="39"/>
      <c r="E85" s="40"/>
      <c r="F85" s="173"/>
      <c r="G85" s="174"/>
      <c r="H85" s="174"/>
    </row>
    <row r="86" spans="1:8" ht="17.399999999999999" x14ac:dyDescent="0.3">
      <c r="A86" s="191" t="s">
        <v>59</v>
      </c>
      <c r="B86" s="192"/>
      <c r="C86" s="192"/>
      <c r="D86" s="193"/>
      <c r="E86" s="17"/>
      <c r="F86" s="183" t="s">
        <v>60</v>
      </c>
      <c r="G86" s="184"/>
      <c r="H86" s="185"/>
    </row>
    <row r="87" spans="1:8" x14ac:dyDescent="0.3">
      <c r="A87" s="21" t="s">
        <v>21</v>
      </c>
      <c r="B87" s="22" t="s">
        <v>22</v>
      </c>
      <c r="C87" s="22" t="s">
        <v>23</v>
      </c>
      <c r="D87" s="23" t="s">
        <v>25</v>
      </c>
      <c r="E87" s="41"/>
      <c r="F87" s="186"/>
      <c r="G87" s="187"/>
      <c r="H87" s="188"/>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78" t="s">
        <v>61</v>
      </c>
      <c r="B103" s="179"/>
      <c r="C103" s="179"/>
      <c r="D103" s="96">
        <f>SUM(Boarding_6[Amount])</f>
        <v>0</v>
      </c>
      <c r="E103" s="34"/>
      <c r="F103" s="173" t="s">
        <v>33</v>
      </c>
      <c r="G103" s="174"/>
      <c r="H103" s="174"/>
    </row>
    <row r="104" spans="1:8" x14ac:dyDescent="0.3">
      <c r="A104" s="38"/>
      <c r="B104" s="38"/>
      <c r="C104" s="38"/>
      <c r="D104" s="39"/>
      <c r="E104" s="40"/>
      <c r="F104" s="173"/>
      <c r="G104" s="174"/>
      <c r="H104" s="174"/>
    </row>
    <row r="105" spans="1:8" ht="17.399999999999999" x14ac:dyDescent="0.3">
      <c r="A105" s="191" t="s">
        <v>70</v>
      </c>
      <c r="B105" s="192"/>
      <c r="C105" s="192"/>
      <c r="D105" s="193"/>
      <c r="E105" s="17"/>
      <c r="F105" s="183" t="s">
        <v>62</v>
      </c>
      <c r="G105" s="184"/>
      <c r="H105" s="185"/>
    </row>
    <row r="106" spans="1:8" x14ac:dyDescent="0.3">
      <c r="A106" s="21" t="s">
        <v>21</v>
      </c>
      <c r="B106" s="22" t="s">
        <v>22</v>
      </c>
      <c r="C106" s="22" t="s">
        <v>23</v>
      </c>
      <c r="D106" s="23" t="s">
        <v>25</v>
      </c>
      <c r="E106" s="41"/>
      <c r="F106" s="186"/>
      <c r="G106" s="187"/>
      <c r="H106" s="188"/>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78" t="s">
        <v>63</v>
      </c>
      <c r="B122" s="179"/>
      <c r="C122" s="179"/>
      <c r="D122" s="96">
        <f>SUM(Fence_6[Amount])</f>
        <v>0</v>
      </c>
      <c r="E122" s="34"/>
      <c r="F122" s="173" t="s">
        <v>33</v>
      </c>
      <c r="G122" s="174"/>
      <c r="H122" s="174"/>
    </row>
    <row r="123" spans="1:8" x14ac:dyDescent="0.3">
      <c r="F123" s="173"/>
      <c r="G123" s="174"/>
      <c r="H123" s="174"/>
    </row>
    <row r="124" spans="1:8" ht="17.399999999999999" x14ac:dyDescent="0.3">
      <c r="A124" s="191" t="s">
        <v>26</v>
      </c>
      <c r="B124" s="192"/>
      <c r="C124" s="192"/>
      <c r="D124" s="193"/>
      <c r="E124" s="17"/>
      <c r="F124" s="183" t="s">
        <v>11</v>
      </c>
      <c r="G124" s="184"/>
      <c r="H124" s="185"/>
    </row>
    <row r="125" spans="1:8" x14ac:dyDescent="0.3">
      <c r="A125" s="21" t="s">
        <v>21</v>
      </c>
      <c r="B125" s="22" t="s">
        <v>22</v>
      </c>
      <c r="C125" s="22" t="s">
        <v>23</v>
      </c>
      <c r="D125" s="23" t="s">
        <v>25</v>
      </c>
      <c r="E125" s="41"/>
      <c r="F125" s="186"/>
      <c r="G125" s="187"/>
      <c r="H125" s="188"/>
    </row>
    <row r="126" spans="1:8" x14ac:dyDescent="0.3">
      <c r="A126" s="100"/>
      <c r="B126" s="101"/>
      <c r="C126" s="101"/>
      <c r="D126" s="145">
        <v>34510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78" t="s">
        <v>27</v>
      </c>
      <c r="B141" s="179"/>
      <c r="C141" s="179"/>
      <c r="D141" s="96">
        <f>SUM(Demolition_6[Amount])</f>
        <v>34510</v>
      </c>
      <c r="E141" s="34"/>
      <c r="F141" s="173" t="s">
        <v>33</v>
      </c>
      <c r="G141" s="174"/>
      <c r="H141" s="174"/>
    </row>
    <row r="142" spans="1:8" x14ac:dyDescent="0.3">
      <c r="A142" s="38"/>
      <c r="B142" s="38"/>
      <c r="C142" s="38"/>
      <c r="D142" s="39"/>
      <c r="E142" s="40"/>
      <c r="F142" s="173"/>
      <c r="G142" s="174"/>
      <c r="H142" s="174"/>
    </row>
    <row r="143" spans="1:8" ht="17.399999999999999" x14ac:dyDescent="0.3">
      <c r="A143" s="191" t="s">
        <v>64</v>
      </c>
      <c r="B143" s="192"/>
      <c r="C143" s="192"/>
      <c r="D143" s="193"/>
      <c r="E143" s="17"/>
      <c r="F143" s="183" t="s">
        <v>44</v>
      </c>
      <c r="G143" s="184"/>
      <c r="H143" s="185"/>
    </row>
    <row r="144" spans="1:8" x14ac:dyDescent="0.3">
      <c r="A144" s="21" t="s">
        <v>21</v>
      </c>
      <c r="B144" s="22" t="s">
        <v>22</v>
      </c>
      <c r="C144" s="22" t="s">
        <v>23</v>
      </c>
      <c r="D144" s="23" t="s">
        <v>25</v>
      </c>
      <c r="E144" s="41"/>
      <c r="F144" s="186"/>
      <c r="G144" s="187"/>
      <c r="H144" s="188"/>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78" t="s">
        <v>65</v>
      </c>
      <c r="B160" s="179"/>
      <c r="C160" s="179"/>
      <c r="D160" s="96">
        <f>SUM(Rehab_6[Amount])</f>
        <v>0</v>
      </c>
      <c r="E160" s="34"/>
      <c r="F160" s="173" t="s">
        <v>33</v>
      </c>
      <c r="G160" s="174"/>
      <c r="H160" s="174"/>
    </row>
    <row r="161" spans="6:8" x14ac:dyDescent="0.3">
      <c r="F161" s="173"/>
      <c r="G161" s="174"/>
      <c r="H161" s="174"/>
    </row>
  </sheetData>
  <sheetProtection algorithmName="SHA-512" hashValue="XBE1lyRcrkZM2TfqhOaehQnvrs+SlNLlq/zDZ8JfsCmGAxXwKX3SaHx6Ph0/P7Ef1VpVn6Tg2ojZBdbiaeQpQQ==" saltValue="o8yChfTjzhYjKCJq/tZ+9g==" spinCount="100000" sheet="1" insertRows="0" deleteRows="0"/>
  <protectedRanges>
    <protectedRange sqref="G160 F145:H159 G141 F126:H140 G122 F107:H121 G103 F88:H102 G84 F69:H83 G65 F50:H64 G46 F31:H45 G27 F12:H26" name="Comments"/>
    <protectedRange sqref="A145:D159" name="Rehab"/>
    <protectedRange sqref="A126:D140" name="Demolition"/>
    <protectedRange sqref="A107:D121" name="Fence"/>
    <protectedRange sqref="A88:D102" name="Boarding"/>
    <protectedRange sqref="A69:D83" name="Garbage"/>
    <protectedRange sqref="A50:D64" name="Pest"/>
    <protectedRange sqref="A31:D45" name="Tree"/>
    <protectedRange sqref="B6" name="Units"/>
    <protectedRange sqref="A12:D26" name="Gras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pageSetUpPr fitToPage="1"/>
  </sheetPr>
  <dimension ref="A1:N161"/>
  <sheetViews>
    <sheetView showGridLines="0" zoomScaleNormal="100" workbookViewId="0">
      <pane ySplit="9" topLeftCell="A118" activePane="bottomLeft" state="frozen"/>
      <selection activeCell="F10" sqref="F10:H11"/>
      <selection pane="bottomLeft" activeCell="B6" sqref="B6:C6"/>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5" t="s">
        <v>24</v>
      </c>
      <c r="B1" s="175"/>
      <c r="C1" s="175"/>
      <c r="D1" s="175"/>
      <c r="E1" s="1"/>
      <c r="F1" s="2"/>
      <c r="G1" s="2"/>
      <c r="H1" s="1"/>
    </row>
    <row r="2" spans="1:14" ht="24.9" customHeight="1" x14ac:dyDescent="0.3">
      <c r="A2" s="176" t="s">
        <v>71</v>
      </c>
      <c r="B2" s="176"/>
      <c r="C2" s="176"/>
      <c r="D2" s="176"/>
      <c r="E2" s="4"/>
      <c r="F2" s="120"/>
      <c r="G2" s="120"/>
      <c r="H2" s="5"/>
    </row>
    <row r="3" spans="1:14" ht="31.5" customHeight="1" x14ac:dyDescent="0.3">
      <c r="A3" s="176"/>
      <c r="B3" s="176"/>
      <c r="C3" s="176"/>
      <c r="D3" s="176"/>
      <c r="E3" s="4"/>
      <c r="F3" s="120"/>
      <c r="G3" s="120"/>
      <c r="H3" s="5"/>
    </row>
    <row r="4" spans="1:14" ht="15" customHeight="1" x14ac:dyDescent="0.25">
      <c r="A4" s="75" t="s">
        <v>19</v>
      </c>
      <c r="B4" s="194" t="str">
        <f>IF('Summary Sheet'!B101="","",'Summary Sheet'!B101)</f>
        <v>262 W 105TH ST</v>
      </c>
      <c r="C4" s="194"/>
      <c r="D4" s="120"/>
      <c r="E4" s="4"/>
      <c r="F4" s="120"/>
      <c r="G4" s="120"/>
      <c r="H4" s="5"/>
    </row>
    <row r="5" spans="1:14" ht="15" customHeight="1" x14ac:dyDescent="0.25">
      <c r="A5" s="75" t="s">
        <v>20</v>
      </c>
      <c r="B5" s="195" t="str">
        <f>IF('Summary Sheet'!C101="","",'Summary Sheet'!C101)</f>
        <v>25-16-206-109-0000</v>
      </c>
      <c r="C5" s="195"/>
      <c r="D5" s="120"/>
      <c r="E5" s="4"/>
      <c r="F5" s="120"/>
      <c r="G5" s="120"/>
      <c r="H5" s="5"/>
    </row>
    <row r="6" spans="1:14" ht="15" customHeight="1" x14ac:dyDescent="0.25">
      <c r="A6" s="75" t="s">
        <v>36</v>
      </c>
      <c r="B6" s="177">
        <v>1</v>
      </c>
      <c r="C6" s="177"/>
      <c r="D6" s="6"/>
      <c r="E6" s="7"/>
    </row>
    <row r="7" spans="1:14" ht="15" customHeight="1" x14ac:dyDescent="0.25">
      <c r="A7" s="7"/>
      <c r="B7" s="196" t="s">
        <v>34</v>
      </c>
      <c r="C7" s="196"/>
      <c r="D7" s="10"/>
    </row>
    <row r="8" spans="1:14" ht="20.100000000000001" customHeight="1" x14ac:dyDescent="0.25">
      <c r="B8" s="11"/>
      <c r="C8" s="11"/>
      <c r="D8" s="12" t="s">
        <v>31</v>
      </c>
      <c r="F8" s="180" t="s">
        <v>32</v>
      </c>
      <c r="G8" s="181"/>
      <c r="H8" s="182"/>
    </row>
    <row r="9" spans="1:14" s="14" customFormat="1" ht="20.100000000000001" customHeight="1" x14ac:dyDescent="0.25">
      <c r="A9" s="197"/>
      <c r="B9" s="197"/>
      <c r="C9" s="197"/>
      <c r="D9" s="13">
        <f>SUM(D27,D46,D65,D84,D103,D122,D141,D160)</f>
        <v>15710</v>
      </c>
      <c r="F9" s="15" t="s">
        <v>28</v>
      </c>
      <c r="G9" s="15" t="s">
        <v>29</v>
      </c>
      <c r="H9" s="15" t="s">
        <v>30</v>
      </c>
      <c r="I9" s="16"/>
      <c r="J9" s="16"/>
      <c r="K9" s="16"/>
      <c r="L9" s="16"/>
      <c r="M9" s="16"/>
      <c r="N9" s="16"/>
    </row>
    <row r="10" spans="1:14" s="17" customFormat="1" ht="23.1" customHeight="1" x14ac:dyDescent="0.3">
      <c r="A10" s="198" t="s">
        <v>51</v>
      </c>
      <c r="B10" s="198"/>
      <c r="C10" s="198"/>
      <c r="D10" s="198"/>
      <c r="F10" s="183" t="s">
        <v>66</v>
      </c>
      <c r="G10" s="184"/>
      <c r="H10" s="185"/>
      <c r="I10" s="18"/>
      <c r="J10" s="18"/>
      <c r="K10" s="18"/>
      <c r="L10" s="18"/>
      <c r="M10" s="19"/>
      <c r="N10" s="20"/>
    </row>
    <row r="11" spans="1:14" s="24" customFormat="1" ht="12.75" customHeight="1" x14ac:dyDescent="0.25">
      <c r="A11" s="21" t="s">
        <v>21</v>
      </c>
      <c r="B11" s="22" t="s">
        <v>22</v>
      </c>
      <c r="C11" s="22" t="s">
        <v>23</v>
      </c>
      <c r="D11" s="23" t="s">
        <v>25</v>
      </c>
      <c r="F11" s="186"/>
      <c r="G11" s="187"/>
      <c r="H11" s="188"/>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78" t="s">
        <v>53</v>
      </c>
      <c r="B27" s="179"/>
      <c r="C27" s="179"/>
      <c r="D27" s="96">
        <f>SUM(Grass_69[Amount])</f>
        <v>0</v>
      </c>
      <c r="F27" s="173" t="s">
        <v>33</v>
      </c>
      <c r="G27" s="174"/>
      <c r="H27" s="174"/>
      <c r="I27" s="35"/>
      <c r="J27" s="35"/>
      <c r="K27" s="35"/>
      <c r="L27" s="35"/>
      <c r="M27" s="36"/>
      <c r="N27" s="37"/>
    </row>
    <row r="28" spans="1:14" s="40" customFormat="1" ht="11.1" customHeight="1" x14ac:dyDescent="0.3">
      <c r="A28" s="38"/>
      <c r="B28" s="38"/>
      <c r="C28" s="38"/>
      <c r="D28" s="39"/>
      <c r="F28" s="173"/>
      <c r="G28" s="174"/>
      <c r="H28" s="174"/>
      <c r="I28" s="35"/>
      <c r="J28" s="35"/>
      <c r="K28" s="35"/>
      <c r="L28" s="35"/>
      <c r="M28" s="36"/>
      <c r="N28" s="37"/>
    </row>
    <row r="29" spans="1:14" s="17" customFormat="1" ht="23.1" customHeight="1" x14ac:dyDescent="0.3">
      <c r="A29" s="191" t="s">
        <v>67</v>
      </c>
      <c r="B29" s="192"/>
      <c r="C29" s="192"/>
      <c r="D29" s="193"/>
      <c r="F29" s="183" t="s">
        <v>52</v>
      </c>
      <c r="G29" s="184"/>
      <c r="H29" s="185"/>
      <c r="I29" s="18"/>
      <c r="J29" s="18"/>
      <c r="K29" s="18"/>
      <c r="L29" s="18"/>
      <c r="M29" s="19"/>
      <c r="N29" s="20"/>
    </row>
    <row r="30" spans="1:14" s="41" customFormat="1" ht="12.75" customHeight="1" x14ac:dyDescent="0.25">
      <c r="A30" s="21" t="s">
        <v>21</v>
      </c>
      <c r="B30" s="22" t="s">
        <v>22</v>
      </c>
      <c r="C30" s="22" t="s">
        <v>23</v>
      </c>
      <c r="D30" s="23" t="s">
        <v>25</v>
      </c>
      <c r="F30" s="186"/>
      <c r="G30" s="187"/>
      <c r="H30" s="188"/>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19"/>
      <c r="J44" s="29"/>
      <c r="K44" s="29"/>
      <c r="L44" s="119"/>
      <c r="M44" s="30"/>
      <c r="N44" s="16"/>
    </row>
    <row r="45" spans="1:14" x14ac:dyDescent="0.3">
      <c r="A45" s="106"/>
      <c r="B45" s="107"/>
      <c r="C45" s="107"/>
      <c r="D45" s="114"/>
      <c r="F45" s="103"/>
      <c r="G45" s="104"/>
      <c r="H45" s="109"/>
      <c r="I45" s="119"/>
      <c r="J45" s="29"/>
      <c r="K45" s="29"/>
      <c r="L45" s="119"/>
      <c r="M45" s="30"/>
      <c r="N45" s="16"/>
    </row>
    <row r="46" spans="1:14" s="34" customFormat="1" x14ac:dyDescent="0.3">
      <c r="A46" s="178" t="s">
        <v>54</v>
      </c>
      <c r="B46" s="179"/>
      <c r="C46" s="179"/>
      <c r="D46" s="96">
        <f>SUM(Tree_69[Amount])</f>
        <v>0</v>
      </c>
      <c r="F46" s="173" t="s">
        <v>33</v>
      </c>
      <c r="G46" s="174"/>
      <c r="H46" s="174"/>
      <c r="I46" s="43"/>
      <c r="J46" s="43"/>
      <c r="K46" s="43"/>
      <c r="L46" s="43"/>
      <c r="M46" s="36"/>
      <c r="N46" s="37"/>
    </row>
    <row r="47" spans="1:14" s="40" customFormat="1" ht="11.1" customHeight="1" x14ac:dyDescent="0.3">
      <c r="A47" s="38"/>
      <c r="B47" s="38"/>
      <c r="C47" s="38"/>
      <c r="D47" s="39"/>
      <c r="F47" s="173"/>
      <c r="G47" s="174"/>
      <c r="H47" s="174"/>
      <c r="I47" s="43"/>
      <c r="J47" s="43"/>
      <c r="K47" s="43"/>
      <c r="L47" s="43"/>
      <c r="M47" s="36"/>
      <c r="N47" s="37"/>
    </row>
    <row r="48" spans="1:14" s="17" customFormat="1" ht="23.1" customHeight="1" x14ac:dyDescent="0.3">
      <c r="A48" s="191" t="s">
        <v>68</v>
      </c>
      <c r="B48" s="192"/>
      <c r="C48" s="192"/>
      <c r="D48" s="193"/>
      <c r="F48" s="183" t="s">
        <v>55</v>
      </c>
      <c r="G48" s="184"/>
      <c r="H48" s="185"/>
      <c r="I48" s="44"/>
      <c r="J48" s="44"/>
      <c r="K48" s="44"/>
      <c r="L48" s="44"/>
      <c r="M48" s="19"/>
      <c r="N48" s="20"/>
    </row>
    <row r="49" spans="1:14" s="41" customFormat="1" ht="12.75" customHeight="1" x14ac:dyDescent="0.25">
      <c r="A49" s="21" t="s">
        <v>21</v>
      </c>
      <c r="B49" s="22" t="s">
        <v>22</v>
      </c>
      <c r="C49" s="22" t="s">
        <v>23</v>
      </c>
      <c r="D49" s="23" t="s">
        <v>25</v>
      </c>
      <c r="F49" s="186"/>
      <c r="G49" s="187"/>
      <c r="H49" s="188"/>
      <c r="I49" s="119"/>
      <c r="J49" s="119"/>
      <c r="K49" s="119"/>
      <c r="L49" s="119"/>
      <c r="M49" s="30"/>
      <c r="N49" s="42"/>
    </row>
    <row r="50" spans="1:14" x14ac:dyDescent="0.3">
      <c r="A50" s="100"/>
      <c r="B50" s="101"/>
      <c r="C50" s="101"/>
      <c r="D50" s="112"/>
      <c r="F50" s="103"/>
      <c r="G50" s="104"/>
      <c r="H50" s="109"/>
      <c r="I50" s="119"/>
      <c r="J50" s="119"/>
      <c r="K50" s="119"/>
      <c r="L50" s="119"/>
      <c r="M50" s="30"/>
      <c r="N50" s="16"/>
    </row>
    <row r="51" spans="1:14" x14ac:dyDescent="0.3">
      <c r="A51" s="106"/>
      <c r="B51" s="107"/>
      <c r="C51" s="107"/>
      <c r="D51" s="113"/>
      <c r="F51" s="103"/>
      <c r="G51" s="104"/>
      <c r="H51" s="109"/>
      <c r="I51" s="119"/>
      <c r="J51" s="119"/>
      <c r="K51" s="119"/>
      <c r="L51" s="119"/>
      <c r="M51" s="30"/>
      <c r="N51" s="16"/>
    </row>
    <row r="52" spans="1:14" x14ac:dyDescent="0.3">
      <c r="A52" s="106"/>
      <c r="B52" s="107"/>
      <c r="C52" s="107"/>
      <c r="D52" s="114"/>
      <c r="F52" s="103"/>
      <c r="H52" s="109"/>
      <c r="I52" s="119"/>
      <c r="J52" s="119"/>
      <c r="K52" s="119"/>
      <c r="L52" s="119"/>
      <c r="M52" s="30"/>
      <c r="N52" s="16"/>
    </row>
    <row r="53" spans="1:14" x14ac:dyDescent="0.3">
      <c r="A53" s="106"/>
      <c r="B53" s="107"/>
      <c r="C53" s="107"/>
      <c r="D53" s="113"/>
      <c r="F53" s="103"/>
      <c r="G53" s="104"/>
      <c r="H53" s="109"/>
      <c r="I53" s="119"/>
      <c r="J53" s="119"/>
      <c r="K53" s="119"/>
      <c r="L53" s="119"/>
      <c r="M53" s="30"/>
      <c r="N53" s="16"/>
    </row>
    <row r="54" spans="1:14" x14ac:dyDescent="0.3">
      <c r="A54" s="106"/>
      <c r="B54" s="107"/>
      <c r="C54" s="107"/>
      <c r="D54" s="114"/>
      <c r="F54" s="103"/>
      <c r="G54" s="104"/>
      <c r="H54" s="109"/>
      <c r="I54" s="119"/>
      <c r="J54" s="119"/>
      <c r="K54" s="119"/>
      <c r="L54" s="119"/>
      <c r="M54" s="30"/>
      <c r="N54" s="16"/>
    </row>
    <row r="55" spans="1:14" x14ac:dyDescent="0.3">
      <c r="A55" s="106"/>
      <c r="B55" s="107"/>
      <c r="C55" s="107"/>
      <c r="D55" s="113"/>
      <c r="F55" s="103"/>
      <c r="G55" s="104"/>
      <c r="H55" s="109"/>
      <c r="I55" s="119"/>
      <c r="J55" s="119"/>
      <c r="K55" s="119"/>
      <c r="L55" s="119"/>
      <c r="M55" s="30"/>
      <c r="N55" s="16"/>
    </row>
    <row r="56" spans="1:14" x14ac:dyDescent="0.3">
      <c r="A56" s="106"/>
      <c r="B56" s="107"/>
      <c r="C56" s="107"/>
      <c r="D56" s="114"/>
      <c r="F56" s="103"/>
      <c r="G56" s="104"/>
      <c r="H56" s="109"/>
      <c r="I56" s="119"/>
      <c r="J56" s="119"/>
      <c r="K56" s="119"/>
      <c r="L56" s="119"/>
      <c r="M56" s="30"/>
      <c r="N56" s="16"/>
    </row>
    <row r="57" spans="1:14" x14ac:dyDescent="0.3">
      <c r="A57" s="106"/>
      <c r="B57" s="107"/>
      <c r="C57" s="107"/>
      <c r="D57" s="113"/>
      <c r="F57" s="103"/>
      <c r="G57" s="104"/>
      <c r="H57" s="109"/>
      <c r="I57" s="119"/>
      <c r="J57" s="119"/>
      <c r="K57" s="119"/>
      <c r="L57" s="119"/>
      <c r="M57" s="30"/>
      <c r="N57" s="16"/>
    </row>
    <row r="58" spans="1:14" x14ac:dyDescent="0.3">
      <c r="A58" s="106"/>
      <c r="B58" s="107"/>
      <c r="C58" s="107"/>
      <c r="D58" s="114"/>
      <c r="F58" s="103"/>
      <c r="G58" s="104"/>
      <c r="H58" s="109"/>
      <c r="I58" s="119"/>
      <c r="J58" s="119"/>
      <c r="K58" s="119"/>
      <c r="L58" s="119"/>
      <c r="M58" s="30"/>
      <c r="N58" s="16"/>
    </row>
    <row r="59" spans="1:14" x14ac:dyDescent="0.3">
      <c r="A59" s="106"/>
      <c r="B59" s="107"/>
      <c r="C59" s="107"/>
      <c r="D59" s="113"/>
      <c r="F59" s="103"/>
      <c r="G59" s="104"/>
      <c r="H59" s="109"/>
      <c r="I59" s="119"/>
      <c r="J59" s="190"/>
      <c r="K59" s="190"/>
      <c r="L59" s="119"/>
      <c r="M59" s="30"/>
      <c r="N59" s="16"/>
    </row>
    <row r="60" spans="1:14" x14ac:dyDescent="0.3">
      <c r="A60" s="106"/>
      <c r="B60" s="107"/>
      <c r="C60" s="107"/>
      <c r="D60" s="114"/>
      <c r="F60" s="103"/>
      <c r="G60" s="104"/>
      <c r="H60" s="109"/>
      <c r="I60" s="189"/>
      <c r="J60" s="189"/>
      <c r="K60" s="189"/>
      <c r="L60" s="189"/>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78" t="s">
        <v>56</v>
      </c>
      <c r="B65" s="179"/>
      <c r="C65" s="179"/>
      <c r="D65" s="96">
        <f>SUM(Pest_69[Amount])</f>
        <v>0</v>
      </c>
      <c r="F65" s="173" t="s">
        <v>33</v>
      </c>
      <c r="G65" s="174"/>
      <c r="H65" s="174"/>
    </row>
    <row r="66" spans="1:8" x14ac:dyDescent="0.3">
      <c r="F66" s="173"/>
      <c r="G66" s="174"/>
      <c r="H66" s="174"/>
    </row>
    <row r="67" spans="1:8" ht="17.399999999999999" x14ac:dyDescent="0.3">
      <c r="A67" s="198" t="s">
        <v>69</v>
      </c>
      <c r="B67" s="198"/>
      <c r="C67" s="198"/>
      <c r="D67" s="198"/>
      <c r="E67" s="17"/>
      <c r="F67" s="183" t="s">
        <v>57</v>
      </c>
      <c r="G67" s="184"/>
      <c r="H67" s="185"/>
    </row>
    <row r="68" spans="1:8" x14ac:dyDescent="0.3">
      <c r="A68" s="21" t="s">
        <v>21</v>
      </c>
      <c r="B68" s="22" t="s">
        <v>22</v>
      </c>
      <c r="C68" s="22" t="s">
        <v>23</v>
      </c>
      <c r="D68" s="23" t="s">
        <v>25</v>
      </c>
      <c r="E68" s="24"/>
      <c r="F68" s="186"/>
      <c r="G68" s="187"/>
      <c r="H68" s="188"/>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78" t="s">
        <v>58</v>
      </c>
      <c r="B84" s="179"/>
      <c r="C84" s="179"/>
      <c r="D84" s="96">
        <f>SUM(Garbage_69[Amount])</f>
        <v>0</v>
      </c>
      <c r="E84" s="34"/>
      <c r="F84" s="173" t="s">
        <v>33</v>
      </c>
      <c r="G84" s="174"/>
      <c r="H84" s="174"/>
    </row>
    <row r="85" spans="1:8" x14ac:dyDescent="0.3">
      <c r="A85" s="38"/>
      <c r="B85" s="38"/>
      <c r="C85" s="38"/>
      <c r="D85" s="39"/>
      <c r="E85" s="40"/>
      <c r="F85" s="173"/>
      <c r="G85" s="174"/>
      <c r="H85" s="174"/>
    </row>
    <row r="86" spans="1:8" ht="17.399999999999999" x14ac:dyDescent="0.3">
      <c r="A86" s="191" t="s">
        <v>59</v>
      </c>
      <c r="B86" s="192"/>
      <c r="C86" s="192"/>
      <c r="D86" s="193"/>
      <c r="E86" s="17"/>
      <c r="F86" s="183" t="s">
        <v>60</v>
      </c>
      <c r="G86" s="184"/>
      <c r="H86" s="185"/>
    </row>
    <row r="87" spans="1:8" x14ac:dyDescent="0.3">
      <c r="A87" s="21" t="s">
        <v>21</v>
      </c>
      <c r="B87" s="22" t="s">
        <v>22</v>
      </c>
      <c r="C87" s="22" t="s">
        <v>23</v>
      </c>
      <c r="D87" s="23" t="s">
        <v>25</v>
      </c>
      <c r="E87" s="41"/>
      <c r="F87" s="186"/>
      <c r="G87" s="187"/>
      <c r="H87" s="188"/>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78" t="s">
        <v>61</v>
      </c>
      <c r="B103" s="179"/>
      <c r="C103" s="179"/>
      <c r="D103" s="96">
        <f>SUM(Boarding_69[Amount])</f>
        <v>0</v>
      </c>
      <c r="E103" s="34"/>
      <c r="F103" s="173" t="s">
        <v>33</v>
      </c>
      <c r="G103" s="174"/>
      <c r="H103" s="174"/>
    </row>
    <row r="104" spans="1:8" x14ac:dyDescent="0.3">
      <c r="A104" s="38"/>
      <c r="B104" s="38"/>
      <c r="C104" s="38"/>
      <c r="D104" s="39"/>
      <c r="E104" s="40"/>
      <c r="F104" s="173"/>
      <c r="G104" s="174"/>
      <c r="H104" s="174"/>
    </row>
    <row r="105" spans="1:8" ht="17.399999999999999" x14ac:dyDescent="0.3">
      <c r="A105" s="191" t="s">
        <v>70</v>
      </c>
      <c r="B105" s="192"/>
      <c r="C105" s="192"/>
      <c r="D105" s="193"/>
      <c r="E105" s="17"/>
      <c r="F105" s="183" t="s">
        <v>62</v>
      </c>
      <c r="G105" s="184"/>
      <c r="H105" s="185"/>
    </row>
    <row r="106" spans="1:8" x14ac:dyDescent="0.3">
      <c r="A106" s="21" t="s">
        <v>21</v>
      </c>
      <c r="B106" s="22" t="s">
        <v>22</v>
      </c>
      <c r="C106" s="22" t="s">
        <v>23</v>
      </c>
      <c r="D106" s="23" t="s">
        <v>25</v>
      </c>
      <c r="E106" s="41"/>
      <c r="F106" s="186"/>
      <c r="G106" s="187"/>
      <c r="H106" s="188"/>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78" t="s">
        <v>63</v>
      </c>
      <c r="B122" s="179"/>
      <c r="C122" s="179"/>
      <c r="D122" s="96">
        <f>SUM(Fence_69[Amount])</f>
        <v>0</v>
      </c>
      <c r="E122" s="34"/>
      <c r="F122" s="173" t="s">
        <v>33</v>
      </c>
      <c r="G122" s="174"/>
      <c r="H122" s="174"/>
    </row>
    <row r="123" spans="1:8" x14ac:dyDescent="0.3">
      <c r="F123" s="173"/>
      <c r="G123" s="174"/>
      <c r="H123" s="174"/>
    </row>
    <row r="124" spans="1:8" ht="17.399999999999999" x14ac:dyDescent="0.3">
      <c r="A124" s="191" t="s">
        <v>26</v>
      </c>
      <c r="B124" s="192"/>
      <c r="C124" s="192"/>
      <c r="D124" s="193"/>
      <c r="E124" s="17"/>
      <c r="F124" s="183" t="s">
        <v>11</v>
      </c>
      <c r="G124" s="184"/>
      <c r="H124" s="185"/>
    </row>
    <row r="125" spans="1:8" x14ac:dyDescent="0.3">
      <c r="A125" s="21" t="s">
        <v>21</v>
      </c>
      <c r="B125" s="22" t="s">
        <v>22</v>
      </c>
      <c r="C125" s="22" t="s">
        <v>23</v>
      </c>
      <c r="D125" s="23" t="s">
        <v>25</v>
      </c>
      <c r="E125" s="41"/>
      <c r="F125" s="186"/>
      <c r="G125" s="187"/>
      <c r="H125" s="188"/>
    </row>
    <row r="126" spans="1:8" x14ac:dyDescent="0.3">
      <c r="A126" s="100"/>
      <c r="B126" s="101"/>
      <c r="C126" s="101"/>
      <c r="D126" s="112">
        <v>15710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78" t="s">
        <v>27</v>
      </c>
      <c r="B141" s="179"/>
      <c r="C141" s="179"/>
      <c r="D141" s="96">
        <f>SUM(Demolition_69[Amount])</f>
        <v>15710</v>
      </c>
      <c r="E141" s="34"/>
      <c r="F141" s="173" t="s">
        <v>33</v>
      </c>
      <c r="G141" s="174"/>
      <c r="H141" s="174"/>
    </row>
    <row r="142" spans="1:8" x14ac:dyDescent="0.3">
      <c r="A142" s="38"/>
      <c r="B142" s="38"/>
      <c r="C142" s="38"/>
      <c r="D142" s="39"/>
      <c r="E142" s="40"/>
      <c r="F142" s="173"/>
      <c r="G142" s="174"/>
      <c r="H142" s="174"/>
    </row>
    <row r="143" spans="1:8" ht="17.399999999999999" x14ac:dyDescent="0.3">
      <c r="A143" s="191" t="s">
        <v>64</v>
      </c>
      <c r="B143" s="192"/>
      <c r="C143" s="192"/>
      <c r="D143" s="193"/>
      <c r="E143" s="17"/>
      <c r="F143" s="183" t="s">
        <v>44</v>
      </c>
      <c r="G143" s="184"/>
      <c r="H143" s="185"/>
    </row>
    <row r="144" spans="1:8" x14ac:dyDescent="0.3">
      <c r="A144" s="21" t="s">
        <v>21</v>
      </c>
      <c r="B144" s="22" t="s">
        <v>22</v>
      </c>
      <c r="C144" s="22" t="s">
        <v>23</v>
      </c>
      <c r="D144" s="23" t="s">
        <v>25</v>
      </c>
      <c r="E144" s="41"/>
      <c r="F144" s="186"/>
      <c r="G144" s="187"/>
      <c r="H144" s="188"/>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78" t="s">
        <v>65</v>
      </c>
      <c r="B160" s="179"/>
      <c r="C160" s="179"/>
      <c r="D160" s="96">
        <f>SUM(Rehab_69[Amount])</f>
        <v>0</v>
      </c>
      <c r="E160" s="34"/>
      <c r="F160" s="173" t="s">
        <v>33</v>
      </c>
      <c r="G160" s="174"/>
      <c r="H160" s="174"/>
    </row>
    <row r="161" spans="6:8" x14ac:dyDescent="0.3">
      <c r="F161" s="173"/>
      <c r="G161" s="174"/>
      <c r="H161" s="174"/>
    </row>
  </sheetData>
  <sheetProtection algorithmName="SHA-512" hashValue="knBjaDxLH7//Gu4FXIhhW94m9WTh7Uw+KboVq2euWd9BxLgVuCGyc0tJVRoa5BrUJPUnTRRO3QZurc6V2dyvNg==" saltValue="fDvACZDZGCsyA6YUE3ihZw=="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pageSetUpPr fitToPage="1"/>
  </sheetPr>
  <dimension ref="A1:N161"/>
  <sheetViews>
    <sheetView showGridLines="0" zoomScaleNormal="100" workbookViewId="0">
      <pane ySplit="9" topLeftCell="A115"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5" t="s">
        <v>24</v>
      </c>
      <c r="B1" s="175"/>
      <c r="C1" s="175"/>
      <c r="D1" s="175"/>
      <c r="E1" s="1"/>
      <c r="F1" s="2"/>
      <c r="G1" s="2"/>
      <c r="H1" s="1"/>
    </row>
    <row r="2" spans="1:14" ht="24.9" customHeight="1" x14ac:dyDescent="0.3">
      <c r="A2" s="176" t="s">
        <v>71</v>
      </c>
      <c r="B2" s="176"/>
      <c r="C2" s="176"/>
      <c r="D2" s="176"/>
      <c r="E2" s="4"/>
      <c r="F2" s="120"/>
      <c r="G2" s="120"/>
      <c r="H2" s="5"/>
    </row>
    <row r="3" spans="1:14" ht="31.5" customHeight="1" x14ac:dyDescent="0.3">
      <c r="A3" s="176"/>
      <c r="B3" s="176"/>
      <c r="C3" s="176"/>
      <c r="D3" s="176"/>
      <c r="E3" s="4"/>
      <c r="F3" s="120"/>
      <c r="G3" s="120"/>
      <c r="H3" s="5"/>
    </row>
    <row r="4" spans="1:14" ht="15" customHeight="1" x14ac:dyDescent="0.25">
      <c r="A4" s="75" t="s">
        <v>19</v>
      </c>
      <c r="B4" s="194" t="str">
        <f>IF('Summary Sheet'!B102="","",'Summary Sheet'!B102)</f>
        <v>2951 W 59TH ST</v>
      </c>
      <c r="C4" s="194"/>
      <c r="D4" s="120"/>
      <c r="E4" s="4"/>
      <c r="F4" s="120"/>
      <c r="G4" s="120"/>
      <c r="H4" s="5"/>
    </row>
    <row r="5" spans="1:14" ht="15" customHeight="1" x14ac:dyDescent="0.25">
      <c r="A5" s="75" t="s">
        <v>20</v>
      </c>
      <c r="B5" s="195" t="str">
        <f>IF('Summary Sheet'!C102="","",'Summary Sheet'!C102)</f>
        <v/>
      </c>
      <c r="C5" s="195"/>
      <c r="D5" s="120"/>
      <c r="E5" s="4"/>
      <c r="F5" s="120"/>
      <c r="G5" s="120"/>
      <c r="H5" s="5"/>
    </row>
    <row r="6" spans="1:14" ht="15" customHeight="1" x14ac:dyDescent="0.25">
      <c r="A6" s="75" t="s">
        <v>36</v>
      </c>
      <c r="B6" s="177"/>
      <c r="C6" s="177"/>
      <c r="D6" s="6"/>
      <c r="E6" s="7"/>
    </row>
    <row r="7" spans="1:14" ht="15" customHeight="1" x14ac:dyDescent="0.25">
      <c r="A7" s="7"/>
      <c r="B7" s="196" t="s">
        <v>34</v>
      </c>
      <c r="C7" s="196"/>
      <c r="D7" s="10"/>
    </row>
    <row r="8" spans="1:14" ht="20.100000000000001" customHeight="1" x14ac:dyDescent="0.25">
      <c r="B8" s="11"/>
      <c r="C8" s="11"/>
      <c r="D8" s="12" t="s">
        <v>31</v>
      </c>
      <c r="F8" s="180" t="s">
        <v>32</v>
      </c>
      <c r="G8" s="181"/>
      <c r="H8" s="182"/>
    </row>
    <row r="9" spans="1:14" s="14" customFormat="1" ht="20.100000000000001" customHeight="1" x14ac:dyDescent="0.25">
      <c r="A9" s="197"/>
      <c r="B9" s="197"/>
      <c r="C9" s="197"/>
      <c r="D9" s="13">
        <f>SUM(D27,D46,D65,D84,D103,D122,D141,D160)</f>
        <v>21890</v>
      </c>
      <c r="F9" s="15" t="s">
        <v>28</v>
      </c>
      <c r="G9" s="15" t="s">
        <v>29</v>
      </c>
      <c r="H9" s="15" t="s">
        <v>30</v>
      </c>
      <c r="I9" s="16"/>
      <c r="J9" s="16"/>
      <c r="K9" s="16"/>
      <c r="L9" s="16"/>
      <c r="M9" s="16"/>
      <c r="N9" s="16"/>
    </row>
    <row r="10" spans="1:14" s="17" customFormat="1" ht="23.1" customHeight="1" x14ac:dyDescent="0.3">
      <c r="A10" s="198" t="s">
        <v>51</v>
      </c>
      <c r="B10" s="198"/>
      <c r="C10" s="198"/>
      <c r="D10" s="198"/>
      <c r="F10" s="183" t="s">
        <v>66</v>
      </c>
      <c r="G10" s="184"/>
      <c r="H10" s="185"/>
      <c r="I10" s="18"/>
      <c r="J10" s="18"/>
      <c r="K10" s="18"/>
      <c r="L10" s="18"/>
      <c r="M10" s="19"/>
      <c r="N10" s="20"/>
    </row>
    <row r="11" spans="1:14" s="24" customFormat="1" ht="12.75" customHeight="1" x14ac:dyDescent="0.25">
      <c r="A11" s="21" t="s">
        <v>21</v>
      </c>
      <c r="B11" s="22" t="s">
        <v>22</v>
      </c>
      <c r="C11" s="22" t="s">
        <v>23</v>
      </c>
      <c r="D11" s="23" t="s">
        <v>25</v>
      </c>
      <c r="F11" s="186"/>
      <c r="G11" s="187"/>
      <c r="H11" s="188"/>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78" t="s">
        <v>53</v>
      </c>
      <c r="B27" s="179"/>
      <c r="C27" s="179"/>
      <c r="D27" s="96">
        <f>SUM(Grass_70[Amount])</f>
        <v>0</v>
      </c>
      <c r="F27" s="173" t="s">
        <v>33</v>
      </c>
      <c r="G27" s="174"/>
      <c r="H27" s="174"/>
      <c r="I27" s="35"/>
      <c r="J27" s="35"/>
      <c r="K27" s="35"/>
      <c r="L27" s="35"/>
      <c r="M27" s="36"/>
      <c r="N27" s="37"/>
    </row>
    <row r="28" spans="1:14" s="40" customFormat="1" ht="11.1" customHeight="1" x14ac:dyDescent="0.3">
      <c r="A28" s="38"/>
      <c r="B28" s="38"/>
      <c r="C28" s="38"/>
      <c r="D28" s="39"/>
      <c r="F28" s="173"/>
      <c r="G28" s="174"/>
      <c r="H28" s="174"/>
      <c r="I28" s="35"/>
      <c r="J28" s="35"/>
      <c r="K28" s="35"/>
      <c r="L28" s="35"/>
      <c r="M28" s="36"/>
      <c r="N28" s="37"/>
    </row>
    <row r="29" spans="1:14" s="17" customFormat="1" ht="23.1" customHeight="1" x14ac:dyDescent="0.3">
      <c r="A29" s="191" t="s">
        <v>67</v>
      </c>
      <c r="B29" s="192"/>
      <c r="C29" s="192"/>
      <c r="D29" s="193"/>
      <c r="F29" s="183" t="s">
        <v>52</v>
      </c>
      <c r="G29" s="184"/>
      <c r="H29" s="185"/>
      <c r="I29" s="18"/>
      <c r="J29" s="18"/>
      <c r="K29" s="18"/>
      <c r="L29" s="18"/>
      <c r="M29" s="19"/>
      <c r="N29" s="20"/>
    </row>
    <row r="30" spans="1:14" s="41" customFormat="1" ht="12.75" customHeight="1" x14ac:dyDescent="0.25">
      <c r="A30" s="21" t="s">
        <v>21</v>
      </c>
      <c r="B30" s="22" t="s">
        <v>22</v>
      </c>
      <c r="C30" s="22" t="s">
        <v>23</v>
      </c>
      <c r="D30" s="23" t="s">
        <v>25</v>
      </c>
      <c r="F30" s="186"/>
      <c r="G30" s="187"/>
      <c r="H30" s="188"/>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19"/>
      <c r="J44" s="29"/>
      <c r="K44" s="29"/>
      <c r="L44" s="119"/>
      <c r="M44" s="30"/>
      <c r="N44" s="16"/>
    </row>
    <row r="45" spans="1:14" x14ac:dyDescent="0.3">
      <c r="A45" s="106"/>
      <c r="B45" s="107"/>
      <c r="C45" s="107"/>
      <c r="D45" s="114"/>
      <c r="F45" s="103"/>
      <c r="G45" s="104"/>
      <c r="H45" s="109"/>
      <c r="I45" s="119"/>
      <c r="J45" s="29"/>
      <c r="K45" s="29"/>
      <c r="L45" s="119"/>
      <c r="M45" s="30"/>
      <c r="N45" s="16"/>
    </row>
    <row r="46" spans="1:14" s="34" customFormat="1" x14ac:dyDescent="0.3">
      <c r="A46" s="178" t="s">
        <v>54</v>
      </c>
      <c r="B46" s="179"/>
      <c r="C46" s="179"/>
      <c r="D46" s="96">
        <f>SUM(Tree_70[Amount])</f>
        <v>0</v>
      </c>
      <c r="F46" s="173" t="s">
        <v>33</v>
      </c>
      <c r="G46" s="174"/>
      <c r="H46" s="174"/>
      <c r="I46" s="43"/>
      <c r="J46" s="43"/>
      <c r="K46" s="43"/>
      <c r="L46" s="43"/>
      <c r="M46" s="36"/>
      <c r="N46" s="37"/>
    </row>
    <row r="47" spans="1:14" s="40" customFormat="1" ht="11.1" customHeight="1" x14ac:dyDescent="0.3">
      <c r="A47" s="38"/>
      <c r="B47" s="38"/>
      <c r="C47" s="38"/>
      <c r="D47" s="39"/>
      <c r="F47" s="173"/>
      <c r="G47" s="174"/>
      <c r="H47" s="174"/>
      <c r="I47" s="43"/>
      <c r="J47" s="43"/>
      <c r="K47" s="43"/>
      <c r="L47" s="43"/>
      <c r="M47" s="36"/>
      <c r="N47" s="37"/>
    </row>
    <row r="48" spans="1:14" s="17" customFormat="1" ht="23.1" customHeight="1" x14ac:dyDescent="0.3">
      <c r="A48" s="191" t="s">
        <v>68</v>
      </c>
      <c r="B48" s="192"/>
      <c r="C48" s="192"/>
      <c r="D48" s="193"/>
      <c r="F48" s="183" t="s">
        <v>55</v>
      </c>
      <c r="G48" s="184"/>
      <c r="H48" s="185"/>
      <c r="I48" s="44"/>
      <c r="J48" s="44"/>
      <c r="K48" s="44"/>
      <c r="L48" s="44"/>
      <c r="M48" s="19"/>
      <c r="N48" s="20"/>
    </row>
    <row r="49" spans="1:14" s="41" customFormat="1" ht="12.75" customHeight="1" x14ac:dyDescent="0.25">
      <c r="A49" s="21" t="s">
        <v>21</v>
      </c>
      <c r="B49" s="22" t="s">
        <v>22</v>
      </c>
      <c r="C49" s="22" t="s">
        <v>23</v>
      </c>
      <c r="D49" s="23" t="s">
        <v>25</v>
      </c>
      <c r="F49" s="186"/>
      <c r="G49" s="187"/>
      <c r="H49" s="188"/>
      <c r="I49" s="119"/>
      <c r="J49" s="119"/>
      <c r="K49" s="119"/>
      <c r="L49" s="119"/>
      <c r="M49" s="30"/>
      <c r="N49" s="42"/>
    </row>
    <row r="50" spans="1:14" x14ac:dyDescent="0.3">
      <c r="A50" s="100"/>
      <c r="B50" s="101"/>
      <c r="C50" s="101"/>
      <c r="D50" s="112"/>
      <c r="F50" s="103"/>
      <c r="G50" s="104"/>
      <c r="H50" s="109"/>
      <c r="I50" s="119"/>
      <c r="J50" s="119"/>
      <c r="K50" s="119"/>
      <c r="L50" s="119"/>
      <c r="M50" s="30"/>
      <c r="N50" s="16"/>
    </row>
    <row r="51" spans="1:14" x14ac:dyDescent="0.3">
      <c r="A51" s="106"/>
      <c r="B51" s="107"/>
      <c r="C51" s="107"/>
      <c r="D51" s="113"/>
      <c r="F51" s="103"/>
      <c r="G51" s="104"/>
      <c r="H51" s="109"/>
      <c r="I51" s="119"/>
      <c r="J51" s="119"/>
      <c r="K51" s="119"/>
      <c r="L51" s="119"/>
      <c r="M51" s="30"/>
      <c r="N51" s="16"/>
    </row>
    <row r="52" spans="1:14" x14ac:dyDescent="0.3">
      <c r="A52" s="106"/>
      <c r="B52" s="107"/>
      <c r="C52" s="107"/>
      <c r="D52" s="114"/>
      <c r="F52" s="103"/>
      <c r="H52" s="109"/>
      <c r="I52" s="119"/>
      <c r="J52" s="119"/>
      <c r="K52" s="119"/>
      <c r="L52" s="119"/>
      <c r="M52" s="30"/>
      <c r="N52" s="16"/>
    </row>
    <row r="53" spans="1:14" x14ac:dyDescent="0.3">
      <c r="A53" s="106"/>
      <c r="B53" s="107"/>
      <c r="C53" s="107"/>
      <c r="D53" s="113"/>
      <c r="F53" s="103"/>
      <c r="G53" s="104"/>
      <c r="H53" s="109"/>
      <c r="I53" s="119"/>
      <c r="J53" s="119"/>
      <c r="K53" s="119"/>
      <c r="L53" s="119"/>
      <c r="M53" s="30"/>
      <c r="N53" s="16"/>
    </row>
    <row r="54" spans="1:14" x14ac:dyDescent="0.3">
      <c r="A54" s="106"/>
      <c r="B54" s="107"/>
      <c r="C54" s="107"/>
      <c r="D54" s="114"/>
      <c r="F54" s="103"/>
      <c r="G54" s="104"/>
      <c r="H54" s="109"/>
      <c r="I54" s="119"/>
      <c r="J54" s="119"/>
      <c r="K54" s="119"/>
      <c r="L54" s="119"/>
      <c r="M54" s="30"/>
      <c r="N54" s="16"/>
    </row>
    <row r="55" spans="1:14" x14ac:dyDescent="0.3">
      <c r="A55" s="106"/>
      <c r="B55" s="107"/>
      <c r="C55" s="107"/>
      <c r="D55" s="113"/>
      <c r="F55" s="103"/>
      <c r="G55" s="104"/>
      <c r="H55" s="109"/>
      <c r="I55" s="119"/>
      <c r="J55" s="119"/>
      <c r="K55" s="119"/>
      <c r="L55" s="119"/>
      <c r="M55" s="30"/>
      <c r="N55" s="16"/>
    </row>
    <row r="56" spans="1:14" x14ac:dyDescent="0.3">
      <c r="A56" s="106"/>
      <c r="B56" s="107"/>
      <c r="C56" s="107"/>
      <c r="D56" s="114"/>
      <c r="F56" s="103"/>
      <c r="G56" s="104"/>
      <c r="H56" s="109"/>
      <c r="I56" s="119"/>
      <c r="J56" s="119"/>
      <c r="K56" s="119"/>
      <c r="L56" s="119"/>
      <c r="M56" s="30"/>
      <c r="N56" s="16"/>
    </row>
    <row r="57" spans="1:14" x14ac:dyDescent="0.3">
      <c r="A57" s="106"/>
      <c r="B57" s="107"/>
      <c r="C57" s="107"/>
      <c r="D57" s="113"/>
      <c r="F57" s="103"/>
      <c r="G57" s="104"/>
      <c r="H57" s="109"/>
      <c r="I57" s="119"/>
      <c r="J57" s="119"/>
      <c r="K57" s="119"/>
      <c r="L57" s="119"/>
      <c r="M57" s="30"/>
      <c r="N57" s="16"/>
    </row>
    <row r="58" spans="1:14" x14ac:dyDescent="0.3">
      <c r="A58" s="106"/>
      <c r="B58" s="107"/>
      <c r="C58" s="107"/>
      <c r="D58" s="114"/>
      <c r="F58" s="103"/>
      <c r="G58" s="104"/>
      <c r="H58" s="109"/>
      <c r="I58" s="119"/>
      <c r="J58" s="119"/>
      <c r="K58" s="119"/>
      <c r="L58" s="119"/>
      <c r="M58" s="30"/>
      <c r="N58" s="16"/>
    </row>
    <row r="59" spans="1:14" x14ac:dyDescent="0.3">
      <c r="A59" s="106"/>
      <c r="B59" s="107"/>
      <c r="C59" s="107"/>
      <c r="D59" s="113"/>
      <c r="F59" s="103"/>
      <c r="G59" s="104"/>
      <c r="H59" s="109"/>
      <c r="I59" s="119"/>
      <c r="J59" s="190"/>
      <c r="K59" s="190"/>
      <c r="L59" s="119"/>
      <c r="M59" s="30"/>
      <c r="N59" s="16"/>
    </row>
    <row r="60" spans="1:14" x14ac:dyDescent="0.3">
      <c r="A60" s="106"/>
      <c r="B60" s="107"/>
      <c r="C60" s="107"/>
      <c r="D60" s="114"/>
      <c r="F60" s="103"/>
      <c r="G60" s="104"/>
      <c r="H60" s="109"/>
      <c r="I60" s="189"/>
      <c r="J60" s="189"/>
      <c r="K60" s="189"/>
      <c r="L60" s="189"/>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78" t="s">
        <v>56</v>
      </c>
      <c r="B65" s="179"/>
      <c r="C65" s="179"/>
      <c r="D65" s="96">
        <f>SUM(Pest_70[Amount])</f>
        <v>0</v>
      </c>
      <c r="F65" s="173" t="s">
        <v>33</v>
      </c>
      <c r="G65" s="174"/>
      <c r="H65" s="174"/>
    </row>
    <row r="66" spans="1:8" x14ac:dyDescent="0.3">
      <c r="F66" s="173"/>
      <c r="G66" s="174"/>
      <c r="H66" s="174"/>
    </row>
    <row r="67" spans="1:8" ht="17.399999999999999" x14ac:dyDescent="0.3">
      <c r="A67" s="198" t="s">
        <v>69</v>
      </c>
      <c r="B67" s="198"/>
      <c r="C67" s="198"/>
      <c r="D67" s="198"/>
      <c r="E67" s="17"/>
      <c r="F67" s="183" t="s">
        <v>57</v>
      </c>
      <c r="G67" s="184"/>
      <c r="H67" s="185"/>
    </row>
    <row r="68" spans="1:8" x14ac:dyDescent="0.3">
      <c r="A68" s="21" t="s">
        <v>21</v>
      </c>
      <c r="B68" s="22" t="s">
        <v>22</v>
      </c>
      <c r="C68" s="22" t="s">
        <v>23</v>
      </c>
      <c r="D68" s="23" t="s">
        <v>25</v>
      </c>
      <c r="E68" s="24"/>
      <c r="F68" s="186"/>
      <c r="G68" s="187"/>
      <c r="H68" s="188"/>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78" t="s">
        <v>58</v>
      </c>
      <c r="B84" s="179"/>
      <c r="C84" s="179"/>
      <c r="D84" s="96">
        <f>SUM(Garbage_70[Amount])</f>
        <v>0</v>
      </c>
      <c r="E84" s="34"/>
      <c r="F84" s="173" t="s">
        <v>33</v>
      </c>
      <c r="G84" s="174"/>
      <c r="H84" s="174"/>
    </row>
    <row r="85" spans="1:8" x14ac:dyDescent="0.3">
      <c r="A85" s="38"/>
      <c r="B85" s="38"/>
      <c r="C85" s="38"/>
      <c r="D85" s="39"/>
      <c r="E85" s="40"/>
      <c r="F85" s="173"/>
      <c r="G85" s="174"/>
      <c r="H85" s="174"/>
    </row>
    <row r="86" spans="1:8" ht="17.399999999999999" x14ac:dyDescent="0.3">
      <c r="A86" s="191" t="s">
        <v>59</v>
      </c>
      <c r="B86" s="192"/>
      <c r="C86" s="192"/>
      <c r="D86" s="193"/>
      <c r="E86" s="17"/>
      <c r="F86" s="183" t="s">
        <v>60</v>
      </c>
      <c r="G86" s="184"/>
      <c r="H86" s="185"/>
    </row>
    <row r="87" spans="1:8" x14ac:dyDescent="0.3">
      <c r="A87" s="21" t="s">
        <v>21</v>
      </c>
      <c r="B87" s="22" t="s">
        <v>22</v>
      </c>
      <c r="C87" s="22" t="s">
        <v>23</v>
      </c>
      <c r="D87" s="23" t="s">
        <v>25</v>
      </c>
      <c r="E87" s="41"/>
      <c r="F87" s="186"/>
      <c r="G87" s="187"/>
      <c r="H87" s="188"/>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78" t="s">
        <v>61</v>
      </c>
      <c r="B103" s="179"/>
      <c r="C103" s="179"/>
      <c r="D103" s="96">
        <f>SUM(Boarding_70[Amount])</f>
        <v>0</v>
      </c>
      <c r="E103" s="34"/>
      <c r="F103" s="173" t="s">
        <v>33</v>
      </c>
      <c r="G103" s="174"/>
      <c r="H103" s="174"/>
    </row>
    <row r="104" spans="1:8" x14ac:dyDescent="0.3">
      <c r="A104" s="38"/>
      <c r="B104" s="38"/>
      <c r="C104" s="38"/>
      <c r="D104" s="39"/>
      <c r="E104" s="40"/>
      <c r="F104" s="173"/>
      <c r="G104" s="174"/>
      <c r="H104" s="174"/>
    </row>
    <row r="105" spans="1:8" ht="17.399999999999999" x14ac:dyDescent="0.3">
      <c r="A105" s="191" t="s">
        <v>70</v>
      </c>
      <c r="B105" s="192"/>
      <c r="C105" s="192"/>
      <c r="D105" s="193"/>
      <c r="E105" s="17"/>
      <c r="F105" s="183" t="s">
        <v>62</v>
      </c>
      <c r="G105" s="184"/>
      <c r="H105" s="185"/>
    </row>
    <row r="106" spans="1:8" x14ac:dyDescent="0.3">
      <c r="A106" s="21" t="s">
        <v>21</v>
      </c>
      <c r="B106" s="22" t="s">
        <v>22</v>
      </c>
      <c r="C106" s="22" t="s">
        <v>23</v>
      </c>
      <c r="D106" s="23" t="s">
        <v>25</v>
      </c>
      <c r="E106" s="41"/>
      <c r="F106" s="186"/>
      <c r="G106" s="187"/>
      <c r="H106" s="188"/>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78" t="s">
        <v>63</v>
      </c>
      <c r="B122" s="179"/>
      <c r="C122" s="179"/>
      <c r="D122" s="96">
        <f>SUM(Fence_70[Amount])</f>
        <v>0</v>
      </c>
      <c r="E122" s="34"/>
      <c r="F122" s="173" t="s">
        <v>33</v>
      </c>
      <c r="G122" s="174"/>
      <c r="H122" s="174"/>
    </row>
    <row r="123" spans="1:8" x14ac:dyDescent="0.3">
      <c r="F123" s="173"/>
      <c r="G123" s="174"/>
      <c r="H123" s="174"/>
    </row>
    <row r="124" spans="1:8" ht="17.399999999999999" x14ac:dyDescent="0.3">
      <c r="A124" s="191" t="s">
        <v>26</v>
      </c>
      <c r="B124" s="192"/>
      <c r="C124" s="192"/>
      <c r="D124" s="193"/>
      <c r="E124" s="17"/>
      <c r="F124" s="183" t="s">
        <v>11</v>
      </c>
      <c r="G124" s="184"/>
      <c r="H124" s="185"/>
    </row>
    <row r="125" spans="1:8" x14ac:dyDescent="0.3">
      <c r="A125" s="21" t="s">
        <v>21</v>
      </c>
      <c r="B125" s="22" t="s">
        <v>22</v>
      </c>
      <c r="C125" s="22" t="s">
        <v>23</v>
      </c>
      <c r="D125" s="23" t="s">
        <v>25</v>
      </c>
      <c r="E125" s="41"/>
      <c r="F125" s="186"/>
      <c r="G125" s="187"/>
      <c r="H125" s="188"/>
    </row>
    <row r="126" spans="1:8" x14ac:dyDescent="0.3">
      <c r="A126" s="100"/>
      <c r="B126" s="101"/>
      <c r="C126" s="101"/>
      <c r="D126" s="112">
        <v>21890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78" t="s">
        <v>27</v>
      </c>
      <c r="B141" s="179"/>
      <c r="C141" s="179"/>
      <c r="D141" s="96">
        <f>SUM(Demolition_70[Amount])</f>
        <v>21890</v>
      </c>
      <c r="E141" s="34"/>
      <c r="F141" s="173" t="s">
        <v>33</v>
      </c>
      <c r="G141" s="174"/>
      <c r="H141" s="174"/>
    </row>
    <row r="142" spans="1:8" x14ac:dyDescent="0.3">
      <c r="A142" s="38"/>
      <c r="B142" s="38"/>
      <c r="C142" s="38"/>
      <c r="D142" s="39"/>
      <c r="E142" s="40"/>
      <c r="F142" s="173"/>
      <c r="G142" s="174"/>
      <c r="H142" s="174"/>
    </row>
    <row r="143" spans="1:8" ht="17.399999999999999" x14ac:dyDescent="0.3">
      <c r="A143" s="191" t="s">
        <v>64</v>
      </c>
      <c r="B143" s="192"/>
      <c r="C143" s="192"/>
      <c r="D143" s="193"/>
      <c r="E143" s="17"/>
      <c r="F143" s="183" t="s">
        <v>44</v>
      </c>
      <c r="G143" s="184"/>
      <c r="H143" s="185"/>
    </row>
    <row r="144" spans="1:8" x14ac:dyDescent="0.3">
      <c r="A144" s="21" t="s">
        <v>21</v>
      </c>
      <c r="B144" s="22" t="s">
        <v>22</v>
      </c>
      <c r="C144" s="22" t="s">
        <v>23</v>
      </c>
      <c r="D144" s="23" t="s">
        <v>25</v>
      </c>
      <c r="E144" s="41"/>
      <c r="F144" s="186"/>
      <c r="G144" s="187"/>
      <c r="H144" s="188"/>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78" t="s">
        <v>65</v>
      </c>
      <c r="B160" s="179"/>
      <c r="C160" s="179"/>
      <c r="D160" s="96">
        <f>SUM(Rehab_70[Amount])</f>
        <v>0</v>
      </c>
      <c r="E160" s="34"/>
      <c r="F160" s="173" t="s">
        <v>33</v>
      </c>
      <c r="G160" s="174"/>
      <c r="H160" s="174"/>
    </row>
    <row r="161" spans="6:8" x14ac:dyDescent="0.3">
      <c r="F161" s="173"/>
      <c r="G161" s="174"/>
      <c r="H161" s="174"/>
    </row>
  </sheetData>
  <sheetProtection algorithmName="SHA-512" hashValue="IciXXEW6o9NsonLHaOWi0rOlIJomKQ+EVWXtr58pT398DooG4BUw/s9VyzIu8IgwdtnzYsCUFmNFZd8pvCIeRw==" saltValue="tMd5VvR07hsFBT8XAJpVjg=="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61"/>
  <sheetViews>
    <sheetView showGridLines="0" zoomScaleNormal="100" workbookViewId="0">
      <pane ySplit="9" topLeftCell="A110"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5" t="s">
        <v>24</v>
      </c>
      <c r="B1" s="175"/>
      <c r="C1" s="175"/>
      <c r="D1" s="175"/>
      <c r="E1" s="1"/>
      <c r="F1" s="2"/>
      <c r="G1" s="2"/>
      <c r="H1" s="1"/>
    </row>
    <row r="2" spans="1:14" ht="24.9" customHeight="1" x14ac:dyDescent="0.3">
      <c r="A2" s="176" t="s">
        <v>71</v>
      </c>
      <c r="B2" s="176"/>
      <c r="C2" s="176"/>
      <c r="D2" s="176"/>
      <c r="E2" s="4"/>
      <c r="F2" s="130"/>
      <c r="G2" s="130"/>
      <c r="H2" s="5"/>
    </row>
    <row r="3" spans="1:14" ht="31.5" customHeight="1" x14ac:dyDescent="0.3">
      <c r="A3" s="176"/>
      <c r="B3" s="176"/>
      <c r="C3" s="176"/>
      <c r="D3" s="176"/>
      <c r="E3" s="4"/>
      <c r="F3" s="130"/>
      <c r="G3" s="130"/>
      <c r="H3" s="5"/>
    </row>
    <row r="4" spans="1:14" ht="15" customHeight="1" x14ac:dyDescent="0.25">
      <c r="A4" s="75" t="s">
        <v>19</v>
      </c>
      <c r="B4" s="194" t="str">
        <f>IF('Summary Sheet'!B103="","",'Summary Sheet'!B103)</f>
        <v>2801 E 77TH PL</v>
      </c>
      <c r="C4" s="194"/>
      <c r="D4" s="130"/>
      <c r="E4" s="4"/>
      <c r="F4" s="130"/>
      <c r="G4" s="130"/>
      <c r="H4" s="5"/>
    </row>
    <row r="5" spans="1:14" ht="15" customHeight="1" x14ac:dyDescent="0.25">
      <c r="A5" s="75" t="s">
        <v>20</v>
      </c>
      <c r="B5" s="195" t="str">
        <f>IF('Summary Sheet'!C103="","",'Summary Sheet'!C103)</f>
        <v/>
      </c>
      <c r="C5" s="195"/>
      <c r="D5" s="130"/>
      <c r="E5" s="4"/>
      <c r="F5" s="130"/>
      <c r="G5" s="130"/>
      <c r="H5" s="5"/>
    </row>
    <row r="6" spans="1:14" ht="15" customHeight="1" x14ac:dyDescent="0.25">
      <c r="A6" s="75" t="s">
        <v>36</v>
      </c>
      <c r="B6" s="177"/>
      <c r="C6" s="177"/>
      <c r="D6" s="6"/>
      <c r="E6" s="7"/>
    </row>
    <row r="7" spans="1:14" ht="15" customHeight="1" x14ac:dyDescent="0.25">
      <c r="A7" s="7"/>
      <c r="B7" s="196" t="s">
        <v>34</v>
      </c>
      <c r="C7" s="196"/>
      <c r="D7" s="10"/>
    </row>
    <row r="8" spans="1:14" ht="20.100000000000001" customHeight="1" x14ac:dyDescent="0.25">
      <c r="B8" s="11"/>
      <c r="C8" s="11"/>
      <c r="D8" s="12" t="s">
        <v>31</v>
      </c>
      <c r="F8" s="180" t="s">
        <v>32</v>
      </c>
      <c r="G8" s="181"/>
      <c r="H8" s="182"/>
    </row>
    <row r="9" spans="1:14" s="14" customFormat="1" ht="20.100000000000001" customHeight="1" x14ac:dyDescent="0.25">
      <c r="A9" s="197"/>
      <c r="B9" s="197"/>
      <c r="C9" s="197"/>
      <c r="D9" s="13">
        <f>SUM(D27,D46,D65,D84,D103,D122,D141,D160)</f>
        <v>26410</v>
      </c>
      <c r="F9" s="15" t="s">
        <v>28</v>
      </c>
      <c r="G9" s="15" t="s">
        <v>29</v>
      </c>
      <c r="H9" s="15" t="s">
        <v>30</v>
      </c>
      <c r="I9" s="16"/>
      <c r="J9" s="16"/>
      <c r="K9" s="16"/>
      <c r="L9" s="16"/>
      <c r="M9" s="16"/>
      <c r="N9" s="16"/>
    </row>
    <row r="10" spans="1:14" s="17" customFormat="1" ht="23.1" customHeight="1" x14ac:dyDescent="0.3">
      <c r="A10" s="198" t="s">
        <v>51</v>
      </c>
      <c r="B10" s="198"/>
      <c r="C10" s="198"/>
      <c r="D10" s="198"/>
      <c r="F10" s="183" t="s">
        <v>66</v>
      </c>
      <c r="G10" s="184"/>
      <c r="H10" s="185"/>
      <c r="I10" s="18"/>
      <c r="J10" s="18"/>
      <c r="K10" s="18"/>
      <c r="L10" s="18"/>
      <c r="M10" s="19"/>
      <c r="N10" s="20"/>
    </row>
    <row r="11" spans="1:14" s="24" customFormat="1" ht="12.75" customHeight="1" x14ac:dyDescent="0.25">
      <c r="A11" s="21" t="s">
        <v>21</v>
      </c>
      <c r="B11" s="22" t="s">
        <v>22</v>
      </c>
      <c r="C11" s="22" t="s">
        <v>23</v>
      </c>
      <c r="D11" s="23" t="s">
        <v>25</v>
      </c>
      <c r="F11" s="186"/>
      <c r="G11" s="187"/>
      <c r="H11" s="188"/>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78" t="s">
        <v>53</v>
      </c>
      <c r="B27" s="179"/>
      <c r="C27" s="179"/>
      <c r="D27" s="96">
        <f>SUM(Grass_71[Amount])</f>
        <v>0</v>
      </c>
      <c r="F27" s="173" t="s">
        <v>33</v>
      </c>
      <c r="G27" s="174"/>
      <c r="H27" s="174"/>
      <c r="I27" s="35"/>
      <c r="J27" s="35"/>
      <c r="K27" s="35"/>
      <c r="L27" s="35"/>
      <c r="M27" s="36"/>
      <c r="N27" s="37"/>
    </row>
    <row r="28" spans="1:14" s="40" customFormat="1" ht="11.1" customHeight="1" x14ac:dyDescent="0.3">
      <c r="A28" s="38"/>
      <c r="B28" s="38"/>
      <c r="C28" s="38"/>
      <c r="D28" s="39"/>
      <c r="F28" s="173"/>
      <c r="G28" s="174"/>
      <c r="H28" s="174"/>
      <c r="I28" s="35"/>
      <c r="J28" s="35"/>
      <c r="K28" s="35"/>
      <c r="L28" s="35"/>
      <c r="M28" s="36"/>
      <c r="N28" s="37"/>
    </row>
    <row r="29" spans="1:14" s="17" customFormat="1" ht="23.1" customHeight="1" x14ac:dyDescent="0.3">
      <c r="A29" s="191" t="s">
        <v>67</v>
      </c>
      <c r="B29" s="192"/>
      <c r="C29" s="192"/>
      <c r="D29" s="193"/>
      <c r="F29" s="183" t="s">
        <v>52</v>
      </c>
      <c r="G29" s="184"/>
      <c r="H29" s="185"/>
      <c r="I29" s="18"/>
      <c r="J29" s="18"/>
      <c r="K29" s="18"/>
      <c r="L29" s="18"/>
      <c r="M29" s="19"/>
      <c r="N29" s="20"/>
    </row>
    <row r="30" spans="1:14" s="41" customFormat="1" ht="12.75" customHeight="1" x14ac:dyDescent="0.25">
      <c r="A30" s="21" t="s">
        <v>21</v>
      </c>
      <c r="B30" s="22" t="s">
        <v>22</v>
      </c>
      <c r="C30" s="22" t="s">
        <v>23</v>
      </c>
      <c r="D30" s="23" t="s">
        <v>25</v>
      </c>
      <c r="F30" s="186"/>
      <c r="G30" s="187"/>
      <c r="H30" s="188"/>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31"/>
      <c r="J44" s="29"/>
      <c r="K44" s="29"/>
      <c r="L44" s="131"/>
      <c r="M44" s="30"/>
      <c r="N44" s="16"/>
    </row>
    <row r="45" spans="1:14" x14ac:dyDescent="0.3">
      <c r="A45" s="106"/>
      <c r="B45" s="107"/>
      <c r="C45" s="107"/>
      <c r="D45" s="114"/>
      <c r="F45" s="103"/>
      <c r="G45" s="104"/>
      <c r="H45" s="109"/>
      <c r="I45" s="131"/>
      <c r="J45" s="29"/>
      <c r="K45" s="29"/>
      <c r="L45" s="131"/>
      <c r="M45" s="30"/>
      <c r="N45" s="16"/>
    </row>
    <row r="46" spans="1:14" s="34" customFormat="1" x14ac:dyDescent="0.3">
      <c r="A46" s="178" t="s">
        <v>54</v>
      </c>
      <c r="B46" s="179"/>
      <c r="C46" s="179"/>
      <c r="D46" s="96">
        <f>SUM(Tree_71[Amount])</f>
        <v>0</v>
      </c>
      <c r="F46" s="173" t="s">
        <v>33</v>
      </c>
      <c r="G46" s="174"/>
      <c r="H46" s="174"/>
      <c r="I46" s="43"/>
      <c r="J46" s="43"/>
      <c r="K46" s="43"/>
      <c r="L46" s="43"/>
      <c r="M46" s="36"/>
      <c r="N46" s="37"/>
    </row>
    <row r="47" spans="1:14" s="40" customFormat="1" ht="11.1" customHeight="1" x14ac:dyDescent="0.3">
      <c r="A47" s="38"/>
      <c r="B47" s="38"/>
      <c r="C47" s="38"/>
      <c r="D47" s="39"/>
      <c r="F47" s="173"/>
      <c r="G47" s="174"/>
      <c r="H47" s="174"/>
      <c r="I47" s="43"/>
      <c r="J47" s="43"/>
      <c r="K47" s="43"/>
      <c r="L47" s="43"/>
      <c r="M47" s="36"/>
      <c r="N47" s="37"/>
    </row>
    <row r="48" spans="1:14" s="17" customFormat="1" ht="23.1" customHeight="1" x14ac:dyDescent="0.3">
      <c r="A48" s="191" t="s">
        <v>68</v>
      </c>
      <c r="B48" s="192"/>
      <c r="C48" s="192"/>
      <c r="D48" s="193"/>
      <c r="F48" s="183" t="s">
        <v>55</v>
      </c>
      <c r="G48" s="184"/>
      <c r="H48" s="185"/>
      <c r="I48" s="44"/>
      <c r="J48" s="44"/>
      <c r="K48" s="44"/>
      <c r="L48" s="44"/>
      <c r="M48" s="19"/>
      <c r="N48" s="20"/>
    </row>
    <row r="49" spans="1:14" s="41" customFormat="1" ht="12.75" customHeight="1" x14ac:dyDescent="0.25">
      <c r="A49" s="21" t="s">
        <v>21</v>
      </c>
      <c r="B49" s="22" t="s">
        <v>22</v>
      </c>
      <c r="C49" s="22" t="s">
        <v>23</v>
      </c>
      <c r="D49" s="23" t="s">
        <v>25</v>
      </c>
      <c r="F49" s="186"/>
      <c r="G49" s="187"/>
      <c r="H49" s="188"/>
      <c r="I49" s="131"/>
      <c r="J49" s="131"/>
      <c r="K49" s="131"/>
      <c r="L49" s="131"/>
      <c r="M49" s="30"/>
      <c r="N49" s="42"/>
    </row>
    <row r="50" spans="1:14" x14ac:dyDescent="0.3">
      <c r="A50" s="100"/>
      <c r="B50" s="101"/>
      <c r="C50" s="101"/>
      <c r="D50" s="112"/>
      <c r="F50" s="103"/>
      <c r="G50" s="104"/>
      <c r="H50" s="109"/>
      <c r="I50" s="131"/>
      <c r="J50" s="131"/>
      <c r="K50" s="131"/>
      <c r="L50" s="131"/>
      <c r="M50" s="30"/>
      <c r="N50" s="16"/>
    </row>
    <row r="51" spans="1:14" x14ac:dyDescent="0.3">
      <c r="A51" s="106"/>
      <c r="B51" s="107"/>
      <c r="C51" s="107"/>
      <c r="D51" s="113"/>
      <c r="F51" s="103"/>
      <c r="G51" s="104"/>
      <c r="H51" s="109"/>
      <c r="I51" s="131"/>
      <c r="J51" s="131"/>
      <c r="K51" s="131"/>
      <c r="L51" s="131"/>
      <c r="M51" s="30"/>
      <c r="N51" s="16"/>
    </row>
    <row r="52" spans="1:14" x14ac:dyDescent="0.3">
      <c r="A52" s="106"/>
      <c r="B52" s="107"/>
      <c r="C52" s="107"/>
      <c r="D52" s="114"/>
      <c r="F52" s="103"/>
      <c r="H52" s="109"/>
      <c r="I52" s="131"/>
      <c r="J52" s="131"/>
      <c r="K52" s="131"/>
      <c r="L52" s="131"/>
      <c r="M52" s="30"/>
      <c r="N52" s="16"/>
    </row>
    <row r="53" spans="1:14" x14ac:dyDescent="0.3">
      <c r="A53" s="106"/>
      <c r="B53" s="107"/>
      <c r="C53" s="107"/>
      <c r="D53" s="113"/>
      <c r="F53" s="103"/>
      <c r="G53" s="104"/>
      <c r="H53" s="109"/>
      <c r="I53" s="131"/>
      <c r="J53" s="131"/>
      <c r="K53" s="131"/>
      <c r="L53" s="131"/>
      <c r="M53" s="30"/>
      <c r="N53" s="16"/>
    </row>
    <row r="54" spans="1:14" x14ac:dyDescent="0.3">
      <c r="A54" s="106"/>
      <c r="B54" s="107"/>
      <c r="C54" s="107"/>
      <c r="D54" s="114"/>
      <c r="F54" s="103"/>
      <c r="G54" s="104"/>
      <c r="H54" s="109"/>
      <c r="I54" s="131"/>
      <c r="J54" s="131"/>
      <c r="K54" s="131"/>
      <c r="L54" s="131"/>
      <c r="M54" s="30"/>
      <c r="N54" s="16"/>
    </row>
    <row r="55" spans="1:14" x14ac:dyDescent="0.3">
      <c r="A55" s="106"/>
      <c r="B55" s="107"/>
      <c r="C55" s="107"/>
      <c r="D55" s="113"/>
      <c r="F55" s="103"/>
      <c r="G55" s="104"/>
      <c r="H55" s="109"/>
      <c r="I55" s="131"/>
      <c r="J55" s="131"/>
      <c r="K55" s="131"/>
      <c r="L55" s="131"/>
      <c r="M55" s="30"/>
      <c r="N55" s="16"/>
    </row>
    <row r="56" spans="1:14" x14ac:dyDescent="0.3">
      <c r="A56" s="106"/>
      <c r="B56" s="107"/>
      <c r="C56" s="107"/>
      <c r="D56" s="114"/>
      <c r="F56" s="103"/>
      <c r="G56" s="104"/>
      <c r="H56" s="109"/>
      <c r="I56" s="131"/>
      <c r="J56" s="131"/>
      <c r="K56" s="131"/>
      <c r="L56" s="131"/>
      <c r="M56" s="30"/>
      <c r="N56" s="16"/>
    </row>
    <row r="57" spans="1:14" x14ac:dyDescent="0.3">
      <c r="A57" s="106"/>
      <c r="B57" s="107"/>
      <c r="C57" s="107"/>
      <c r="D57" s="113"/>
      <c r="F57" s="103"/>
      <c r="G57" s="104"/>
      <c r="H57" s="109"/>
      <c r="I57" s="131"/>
      <c r="J57" s="131"/>
      <c r="K57" s="131"/>
      <c r="L57" s="131"/>
      <c r="M57" s="30"/>
      <c r="N57" s="16"/>
    </row>
    <row r="58" spans="1:14" x14ac:dyDescent="0.3">
      <c r="A58" s="106"/>
      <c r="B58" s="107"/>
      <c r="C58" s="107"/>
      <c r="D58" s="114"/>
      <c r="F58" s="103"/>
      <c r="G58" s="104"/>
      <c r="H58" s="109"/>
      <c r="I58" s="131"/>
      <c r="J58" s="131"/>
      <c r="K58" s="131"/>
      <c r="L58" s="131"/>
      <c r="M58" s="30"/>
      <c r="N58" s="16"/>
    </row>
    <row r="59" spans="1:14" x14ac:dyDescent="0.3">
      <c r="A59" s="106"/>
      <c r="B59" s="107"/>
      <c r="C59" s="107"/>
      <c r="D59" s="113"/>
      <c r="F59" s="103"/>
      <c r="G59" s="104"/>
      <c r="H59" s="109"/>
      <c r="I59" s="131"/>
      <c r="J59" s="190"/>
      <c r="K59" s="190"/>
      <c r="L59" s="131"/>
      <c r="M59" s="30"/>
      <c r="N59" s="16"/>
    </row>
    <row r="60" spans="1:14" x14ac:dyDescent="0.3">
      <c r="A60" s="106"/>
      <c r="B60" s="107"/>
      <c r="C60" s="107"/>
      <c r="D60" s="114"/>
      <c r="F60" s="103"/>
      <c r="G60" s="104"/>
      <c r="H60" s="109"/>
      <c r="I60" s="189"/>
      <c r="J60" s="189"/>
      <c r="K60" s="189"/>
      <c r="L60" s="189"/>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78" t="s">
        <v>56</v>
      </c>
      <c r="B65" s="179"/>
      <c r="C65" s="179"/>
      <c r="D65" s="96">
        <f>SUM(Pest_71[Amount])</f>
        <v>0</v>
      </c>
      <c r="F65" s="173" t="s">
        <v>33</v>
      </c>
      <c r="G65" s="174"/>
      <c r="H65" s="174"/>
    </row>
    <row r="66" spans="1:8" x14ac:dyDescent="0.3">
      <c r="F66" s="173"/>
      <c r="G66" s="174"/>
      <c r="H66" s="174"/>
    </row>
    <row r="67" spans="1:8" ht="17.399999999999999" x14ac:dyDescent="0.3">
      <c r="A67" s="198" t="s">
        <v>69</v>
      </c>
      <c r="B67" s="198"/>
      <c r="C67" s="198"/>
      <c r="D67" s="198"/>
      <c r="E67" s="17"/>
      <c r="F67" s="183" t="s">
        <v>57</v>
      </c>
      <c r="G67" s="184"/>
      <c r="H67" s="185"/>
    </row>
    <row r="68" spans="1:8" x14ac:dyDescent="0.3">
      <c r="A68" s="21" t="s">
        <v>21</v>
      </c>
      <c r="B68" s="22" t="s">
        <v>22</v>
      </c>
      <c r="C68" s="22" t="s">
        <v>23</v>
      </c>
      <c r="D68" s="23" t="s">
        <v>25</v>
      </c>
      <c r="E68" s="24"/>
      <c r="F68" s="186"/>
      <c r="G68" s="187"/>
      <c r="H68" s="188"/>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78" t="s">
        <v>58</v>
      </c>
      <c r="B84" s="179"/>
      <c r="C84" s="179"/>
      <c r="D84" s="96">
        <f>SUM(Garbage_71[Amount])</f>
        <v>0</v>
      </c>
      <c r="E84" s="34"/>
      <c r="F84" s="173" t="s">
        <v>33</v>
      </c>
      <c r="G84" s="174"/>
      <c r="H84" s="174"/>
    </row>
    <row r="85" spans="1:8" x14ac:dyDescent="0.3">
      <c r="A85" s="38"/>
      <c r="B85" s="38"/>
      <c r="C85" s="38"/>
      <c r="D85" s="39"/>
      <c r="E85" s="40"/>
      <c r="F85" s="173"/>
      <c r="G85" s="174"/>
      <c r="H85" s="174"/>
    </row>
    <row r="86" spans="1:8" ht="17.399999999999999" x14ac:dyDescent="0.3">
      <c r="A86" s="191" t="s">
        <v>59</v>
      </c>
      <c r="B86" s="192"/>
      <c r="C86" s="192"/>
      <c r="D86" s="193"/>
      <c r="E86" s="17"/>
      <c r="F86" s="183" t="s">
        <v>60</v>
      </c>
      <c r="G86" s="184"/>
      <c r="H86" s="185"/>
    </row>
    <row r="87" spans="1:8" x14ac:dyDescent="0.3">
      <c r="A87" s="21" t="s">
        <v>21</v>
      </c>
      <c r="B87" s="22" t="s">
        <v>22</v>
      </c>
      <c r="C87" s="22" t="s">
        <v>23</v>
      </c>
      <c r="D87" s="23" t="s">
        <v>25</v>
      </c>
      <c r="E87" s="41"/>
      <c r="F87" s="186"/>
      <c r="G87" s="187"/>
      <c r="H87" s="188"/>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78" t="s">
        <v>61</v>
      </c>
      <c r="B103" s="179"/>
      <c r="C103" s="179"/>
      <c r="D103" s="96">
        <f>SUM(Boarding_71[Amount])</f>
        <v>0</v>
      </c>
      <c r="E103" s="34"/>
      <c r="F103" s="173" t="s">
        <v>33</v>
      </c>
      <c r="G103" s="174"/>
      <c r="H103" s="174"/>
    </row>
    <row r="104" spans="1:8" x14ac:dyDescent="0.3">
      <c r="A104" s="38"/>
      <c r="B104" s="38"/>
      <c r="C104" s="38"/>
      <c r="D104" s="39"/>
      <c r="E104" s="40"/>
      <c r="F104" s="173"/>
      <c r="G104" s="174"/>
      <c r="H104" s="174"/>
    </row>
    <row r="105" spans="1:8" ht="17.399999999999999" x14ac:dyDescent="0.3">
      <c r="A105" s="191" t="s">
        <v>70</v>
      </c>
      <c r="B105" s="192"/>
      <c r="C105" s="192"/>
      <c r="D105" s="193"/>
      <c r="E105" s="17"/>
      <c r="F105" s="183" t="s">
        <v>62</v>
      </c>
      <c r="G105" s="184"/>
      <c r="H105" s="185"/>
    </row>
    <row r="106" spans="1:8" x14ac:dyDescent="0.3">
      <c r="A106" s="21" t="s">
        <v>21</v>
      </c>
      <c r="B106" s="22" t="s">
        <v>22</v>
      </c>
      <c r="C106" s="22" t="s">
        <v>23</v>
      </c>
      <c r="D106" s="23" t="s">
        <v>25</v>
      </c>
      <c r="E106" s="41"/>
      <c r="F106" s="186"/>
      <c r="G106" s="187"/>
      <c r="H106" s="188"/>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78" t="s">
        <v>63</v>
      </c>
      <c r="B122" s="179"/>
      <c r="C122" s="179"/>
      <c r="D122" s="96">
        <f>SUM(Fence_71[Amount])</f>
        <v>0</v>
      </c>
      <c r="E122" s="34"/>
      <c r="F122" s="173" t="s">
        <v>33</v>
      </c>
      <c r="G122" s="174"/>
      <c r="H122" s="174"/>
    </row>
    <row r="123" spans="1:8" x14ac:dyDescent="0.3">
      <c r="F123" s="173"/>
      <c r="G123" s="174"/>
      <c r="H123" s="174"/>
    </row>
    <row r="124" spans="1:8" ht="17.399999999999999" x14ac:dyDescent="0.3">
      <c r="A124" s="191" t="s">
        <v>26</v>
      </c>
      <c r="B124" s="192"/>
      <c r="C124" s="192"/>
      <c r="D124" s="193"/>
      <c r="E124" s="17"/>
      <c r="F124" s="183" t="s">
        <v>11</v>
      </c>
      <c r="G124" s="184"/>
      <c r="H124" s="185"/>
    </row>
    <row r="125" spans="1:8" x14ac:dyDescent="0.3">
      <c r="A125" s="21" t="s">
        <v>21</v>
      </c>
      <c r="B125" s="22" t="s">
        <v>22</v>
      </c>
      <c r="C125" s="22" t="s">
        <v>23</v>
      </c>
      <c r="D125" s="23" t="s">
        <v>25</v>
      </c>
      <c r="E125" s="41"/>
      <c r="F125" s="186"/>
      <c r="G125" s="187"/>
      <c r="H125" s="188"/>
    </row>
    <row r="126" spans="1:8" x14ac:dyDescent="0.3">
      <c r="A126" s="100"/>
      <c r="B126" s="101"/>
      <c r="C126" s="101"/>
      <c r="D126" s="112">
        <v>26410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78" t="s">
        <v>27</v>
      </c>
      <c r="B141" s="179"/>
      <c r="C141" s="179"/>
      <c r="D141" s="96">
        <f>SUM(Demolition_71[Amount])</f>
        <v>26410</v>
      </c>
      <c r="E141" s="34"/>
      <c r="F141" s="173" t="s">
        <v>33</v>
      </c>
      <c r="G141" s="174"/>
      <c r="H141" s="174"/>
    </row>
    <row r="142" spans="1:8" x14ac:dyDescent="0.3">
      <c r="A142" s="38"/>
      <c r="B142" s="38"/>
      <c r="C142" s="38"/>
      <c r="D142" s="39"/>
      <c r="E142" s="40"/>
      <c r="F142" s="173"/>
      <c r="G142" s="174"/>
      <c r="H142" s="174"/>
    </row>
    <row r="143" spans="1:8" ht="17.399999999999999" x14ac:dyDescent="0.3">
      <c r="A143" s="191" t="s">
        <v>64</v>
      </c>
      <c r="B143" s="192"/>
      <c r="C143" s="192"/>
      <c r="D143" s="193"/>
      <c r="E143" s="17"/>
      <c r="F143" s="183" t="s">
        <v>44</v>
      </c>
      <c r="G143" s="184"/>
      <c r="H143" s="185"/>
    </row>
    <row r="144" spans="1:8" x14ac:dyDescent="0.3">
      <c r="A144" s="21" t="s">
        <v>21</v>
      </c>
      <c r="B144" s="22" t="s">
        <v>22</v>
      </c>
      <c r="C144" s="22" t="s">
        <v>23</v>
      </c>
      <c r="D144" s="23" t="s">
        <v>25</v>
      </c>
      <c r="E144" s="41"/>
      <c r="F144" s="186"/>
      <c r="G144" s="187"/>
      <c r="H144" s="188"/>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78" t="s">
        <v>65</v>
      </c>
      <c r="B160" s="179"/>
      <c r="C160" s="179"/>
      <c r="D160" s="96">
        <f>SUM(Rehab_71[Amount])</f>
        <v>0</v>
      </c>
      <c r="E160" s="34"/>
      <c r="F160" s="173" t="s">
        <v>33</v>
      </c>
      <c r="G160" s="174"/>
      <c r="H160" s="174"/>
    </row>
    <row r="161" spans="6:8" x14ac:dyDescent="0.3">
      <c r="F161" s="173"/>
      <c r="G161" s="174"/>
      <c r="H161" s="174"/>
    </row>
  </sheetData>
  <sheetProtection algorithmName="SHA-512" hashValue="kzBrvLQvK5Qc7qi/wASCBRI7KhxiA89stzNmKykPpG8R7MF+pvAX6upcPuTu2F7Yr4t53azOxwczFshYKCCFQg==" saltValue="Po+Za4222gYf8bHQKaaTpg=="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61"/>
  <sheetViews>
    <sheetView showGridLines="0" zoomScaleNormal="100" workbookViewId="0">
      <pane ySplit="9" topLeftCell="A124"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5" t="s">
        <v>24</v>
      </c>
      <c r="B1" s="175"/>
      <c r="C1" s="175"/>
      <c r="D1" s="175"/>
      <c r="E1" s="1"/>
      <c r="F1" s="2"/>
      <c r="G1" s="2"/>
      <c r="H1" s="1"/>
    </row>
    <row r="2" spans="1:14" ht="24.9" customHeight="1" x14ac:dyDescent="0.3">
      <c r="A2" s="176" t="s">
        <v>71</v>
      </c>
      <c r="B2" s="176"/>
      <c r="C2" s="176"/>
      <c r="D2" s="176"/>
      <c r="E2" s="4"/>
      <c r="F2" s="130"/>
      <c r="G2" s="130"/>
      <c r="H2" s="5"/>
    </row>
    <row r="3" spans="1:14" ht="31.5" customHeight="1" x14ac:dyDescent="0.3">
      <c r="A3" s="176"/>
      <c r="B3" s="176"/>
      <c r="C3" s="176"/>
      <c r="D3" s="176"/>
      <c r="E3" s="4"/>
      <c r="F3" s="130"/>
      <c r="G3" s="130"/>
      <c r="H3" s="5"/>
    </row>
    <row r="4" spans="1:14" ht="15" customHeight="1" x14ac:dyDescent="0.25">
      <c r="A4" s="75" t="s">
        <v>19</v>
      </c>
      <c r="B4" s="194" t="str">
        <f>IF('Summary Sheet'!B104="","",'Summary Sheet'!B104)</f>
        <v>2828 W WILCOX ST</v>
      </c>
      <c r="C4" s="194"/>
      <c r="D4" s="130"/>
      <c r="E4" s="4"/>
      <c r="F4" s="130"/>
      <c r="G4" s="130"/>
      <c r="H4" s="5"/>
    </row>
    <row r="5" spans="1:14" ht="15" customHeight="1" x14ac:dyDescent="0.25">
      <c r="A5" s="75" t="s">
        <v>20</v>
      </c>
      <c r="B5" s="195" t="str">
        <f>IF('Summary Sheet'!C104="","",'Summary Sheet'!C104)</f>
        <v/>
      </c>
      <c r="C5" s="195"/>
      <c r="D5" s="130"/>
      <c r="E5" s="4"/>
      <c r="F5" s="130"/>
      <c r="G5" s="130"/>
      <c r="H5" s="5"/>
    </row>
    <row r="6" spans="1:14" ht="15" customHeight="1" x14ac:dyDescent="0.25">
      <c r="A6" s="75" t="s">
        <v>36</v>
      </c>
      <c r="B6" s="177"/>
      <c r="C6" s="177"/>
      <c r="D6" s="6"/>
      <c r="E6" s="7"/>
    </row>
    <row r="7" spans="1:14" ht="15" customHeight="1" x14ac:dyDescent="0.25">
      <c r="A7" s="7"/>
      <c r="B7" s="196" t="s">
        <v>34</v>
      </c>
      <c r="C7" s="196"/>
      <c r="D7" s="10"/>
    </row>
    <row r="8" spans="1:14" ht="20.100000000000001" customHeight="1" x14ac:dyDescent="0.25">
      <c r="B8" s="11"/>
      <c r="C8" s="11"/>
      <c r="D8" s="12" t="s">
        <v>31</v>
      </c>
      <c r="F8" s="180" t="s">
        <v>32</v>
      </c>
      <c r="G8" s="181"/>
      <c r="H8" s="182"/>
    </row>
    <row r="9" spans="1:14" s="14" customFormat="1" ht="20.100000000000001" customHeight="1" x14ac:dyDescent="0.25">
      <c r="A9" s="197"/>
      <c r="B9" s="197"/>
      <c r="C9" s="197"/>
      <c r="D9" s="13">
        <f>SUM(D27,D46,D65,D84,D103,D122,D141,D160)</f>
        <v>64510</v>
      </c>
      <c r="F9" s="15" t="s">
        <v>28</v>
      </c>
      <c r="G9" s="15" t="s">
        <v>29</v>
      </c>
      <c r="H9" s="15" t="s">
        <v>30</v>
      </c>
      <c r="I9" s="16"/>
      <c r="J9" s="16"/>
      <c r="K9" s="16"/>
      <c r="L9" s="16"/>
      <c r="M9" s="16"/>
      <c r="N9" s="16"/>
    </row>
    <row r="10" spans="1:14" s="17" customFormat="1" ht="23.1" customHeight="1" x14ac:dyDescent="0.3">
      <c r="A10" s="198" t="s">
        <v>51</v>
      </c>
      <c r="B10" s="198"/>
      <c r="C10" s="198"/>
      <c r="D10" s="198"/>
      <c r="F10" s="183" t="s">
        <v>66</v>
      </c>
      <c r="G10" s="184"/>
      <c r="H10" s="185"/>
      <c r="I10" s="18"/>
      <c r="J10" s="18"/>
      <c r="K10" s="18"/>
      <c r="L10" s="18"/>
      <c r="M10" s="19"/>
      <c r="N10" s="20"/>
    </row>
    <row r="11" spans="1:14" s="24" customFormat="1" ht="12.75" customHeight="1" x14ac:dyDescent="0.25">
      <c r="A11" s="21" t="s">
        <v>21</v>
      </c>
      <c r="B11" s="22" t="s">
        <v>22</v>
      </c>
      <c r="C11" s="22" t="s">
        <v>23</v>
      </c>
      <c r="D11" s="23" t="s">
        <v>25</v>
      </c>
      <c r="F11" s="186"/>
      <c r="G11" s="187"/>
      <c r="H11" s="188"/>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78" t="s">
        <v>53</v>
      </c>
      <c r="B27" s="179"/>
      <c r="C27" s="179"/>
      <c r="D27" s="96">
        <f>SUM(Grass_72[Amount])</f>
        <v>0</v>
      </c>
      <c r="F27" s="173" t="s">
        <v>33</v>
      </c>
      <c r="G27" s="174"/>
      <c r="H27" s="174"/>
      <c r="I27" s="35"/>
      <c r="J27" s="35"/>
      <c r="K27" s="35"/>
      <c r="L27" s="35"/>
      <c r="M27" s="36"/>
      <c r="N27" s="37"/>
    </row>
    <row r="28" spans="1:14" s="40" customFormat="1" ht="11.1" customHeight="1" x14ac:dyDescent="0.3">
      <c r="A28" s="38"/>
      <c r="B28" s="38"/>
      <c r="C28" s="38"/>
      <c r="D28" s="39"/>
      <c r="F28" s="173"/>
      <c r="G28" s="174"/>
      <c r="H28" s="174"/>
      <c r="I28" s="35"/>
      <c r="J28" s="35"/>
      <c r="K28" s="35"/>
      <c r="L28" s="35"/>
      <c r="M28" s="36"/>
      <c r="N28" s="37"/>
    </row>
    <row r="29" spans="1:14" s="17" customFormat="1" ht="23.1" customHeight="1" x14ac:dyDescent="0.3">
      <c r="A29" s="191" t="s">
        <v>67</v>
      </c>
      <c r="B29" s="192"/>
      <c r="C29" s="192"/>
      <c r="D29" s="193"/>
      <c r="F29" s="183" t="s">
        <v>52</v>
      </c>
      <c r="G29" s="184"/>
      <c r="H29" s="185"/>
      <c r="I29" s="18"/>
      <c r="J29" s="18"/>
      <c r="K29" s="18"/>
      <c r="L29" s="18"/>
      <c r="M29" s="19"/>
      <c r="N29" s="20"/>
    </row>
    <row r="30" spans="1:14" s="41" customFormat="1" ht="12.75" customHeight="1" x14ac:dyDescent="0.25">
      <c r="A30" s="21" t="s">
        <v>21</v>
      </c>
      <c r="B30" s="22" t="s">
        <v>22</v>
      </c>
      <c r="C30" s="22" t="s">
        <v>23</v>
      </c>
      <c r="D30" s="23" t="s">
        <v>25</v>
      </c>
      <c r="F30" s="186"/>
      <c r="G30" s="187"/>
      <c r="H30" s="188"/>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31"/>
      <c r="J44" s="29"/>
      <c r="K44" s="29"/>
      <c r="L44" s="131"/>
      <c r="M44" s="30"/>
      <c r="N44" s="16"/>
    </row>
    <row r="45" spans="1:14" x14ac:dyDescent="0.3">
      <c r="A45" s="106"/>
      <c r="B45" s="107"/>
      <c r="C45" s="107"/>
      <c r="D45" s="114"/>
      <c r="F45" s="103"/>
      <c r="G45" s="104"/>
      <c r="H45" s="109"/>
      <c r="I45" s="131"/>
      <c r="J45" s="29"/>
      <c r="K45" s="29"/>
      <c r="L45" s="131"/>
      <c r="M45" s="30"/>
      <c r="N45" s="16"/>
    </row>
    <row r="46" spans="1:14" s="34" customFormat="1" x14ac:dyDescent="0.3">
      <c r="A46" s="178" t="s">
        <v>54</v>
      </c>
      <c r="B46" s="179"/>
      <c r="C46" s="179"/>
      <c r="D46" s="96">
        <f>SUM(Tree_72[Amount])</f>
        <v>0</v>
      </c>
      <c r="F46" s="173" t="s">
        <v>33</v>
      </c>
      <c r="G46" s="174"/>
      <c r="H46" s="174"/>
      <c r="I46" s="43"/>
      <c r="J46" s="43"/>
      <c r="K46" s="43"/>
      <c r="L46" s="43"/>
      <c r="M46" s="36"/>
      <c r="N46" s="37"/>
    </row>
    <row r="47" spans="1:14" s="40" customFormat="1" ht="11.1" customHeight="1" x14ac:dyDescent="0.3">
      <c r="A47" s="38"/>
      <c r="B47" s="38"/>
      <c r="C47" s="38"/>
      <c r="D47" s="39"/>
      <c r="F47" s="173"/>
      <c r="G47" s="174"/>
      <c r="H47" s="174"/>
      <c r="I47" s="43"/>
      <c r="J47" s="43"/>
      <c r="K47" s="43"/>
      <c r="L47" s="43"/>
      <c r="M47" s="36"/>
      <c r="N47" s="37"/>
    </row>
    <row r="48" spans="1:14" s="17" customFormat="1" ht="23.1" customHeight="1" x14ac:dyDescent="0.3">
      <c r="A48" s="191" t="s">
        <v>68</v>
      </c>
      <c r="B48" s="192"/>
      <c r="C48" s="192"/>
      <c r="D48" s="193"/>
      <c r="F48" s="183" t="s">
        <v>55</v>
      </c>
      <c r="G48" s="184"/>
      <c r="H48" s="185"/>
      <c r="I48" s="44"/>
      <c r="J48" s="44"/>
      <c r="K48" s="44"/>
      <c r="L48" s="44"/>
      <c r="M48" s="19"/>
      <c r="N48" s="20"/>
    </row>
    <row r="49" spans="1:14" s="41" customFormat="1" ht="12.75" customHeight="1" x14ac:dyDescent="0.25">
      <c r="A49" s="21" t="s">
        <v>21</v>
      </c>
      <c r="B49" s="22" t="s">
        <v>22</v>
      </c>
      <c r="C49" s="22" t="s">
        <v>23</v>
      </c>
      <c r="D49" s="23" t="s">
        <v>25</v>
      </c>
      <c r="F49" s="186"/>
      <c r="G49" s="187"/>
      <c r="H49" s="188"/>
      <c r="I49" s="131"/>
      <c r="J49" s="131"/>
      <c r="K49" s="131"/>
      <c r="L49" s="131"/>
      <c r="M49" s="30"/>
      <c r="N49" s="42"/>
    </row>
    <row r="50" spans="1:14" x14ac:dyDescent="0.3">
      <c r="A50" s="100"/>
      <c r="B50" s="101"/>
      <c r="C50" s="101"/>
      <c r="D50" s="112"/>
      <c r="F50" s="103"/>
      <c r="G50" s="104"/>
      <c r="H50" s="109"/>
      <c r="I50" s="131"/>
      <c r="J50" s="131"/>
      <c r="K50" s="131"/>
      <c r="L50" s="131"/>
      <c r="M50" s="30"/>
      <c r="N50" s="16"/>
    </row>
    <row r="51" spans="1:14" x14ac:dyDescent="0.3">
      <c r="A51" s="106"/>
      <c r="B51" s="107"/>
      <c r="C51" s="107"/>
      <c r="D51" s="113"/>
      <c r="F51" s="103"/>
      <c r="G51" s="104"/>
      <c r="H51" s="109"/>
      <c r="I51" s="131"/>
      <c r="J51" s="131"/>
      <c r="K51" s="131"/>
      <c r="L51" s="131"/>
      <c r="M51" s="30"/>
      <c r="N51" s="16"/>
    </row>
    <row r="52" spans="1:14" x14ac:dyDescent="0.3">
      <c r="A52" s="106"/>
      <c r="B52" s="107"/>
      <c r="C52" s="107"/>
      <c r="D52" s="114"/>
      <c r="F52" s="103"/>
      <c r="H52" s="109"/>
      <c r="I52" s="131"/>
      <c r="J52" s="131"/>
      <c r="K52" s="131"/>
      <c r="L52" s="131"/>
      <c r="M52" s="30"/>
      <c r="N52" s="16"/>
    </row>
    <row r="53" spans="1:14" x14ac:dyDescent="0.3">
      <c r="A53" s="106"/>
      <c r="B53" s="107"/>
      <c r="C53" s="107"/>
      <c r="D53" s="113"/>
      <c r="F53" s="103"/>
      <c r="G53" s="104"/>
      <c r="H53" s="109"/>
      <c r="I53" s="131"/>
      <c r="J53" s="131"/>
      <c r="K53" s="131"/>
      <c r="L53" s="131"/>
      <c r="M53" s="30"/>
      <c r="N53" s="16"/>
    </row>
    <row r="54" spans="1:14" x14ac:dyDescent="0.3">
      <c r="A54" s="106"/>
      <c r="B54" s="107"/>
      <c r="C54" s="107"/>
      <c r="D54" s="114"/>
      <c r="F54" s="103"/>
      <c r="G54" s="104"/>
      <c r="H54" s="109"/>
      <c r="I54" s="131"/>
      <c r="J54" s="131"/>
      <c r="K54" s="131"/>
      <c r="L54" s="131"/>
      <c r="M54" s="30"/>
      <c r="N54" s="16"/>
    </row>
    <row r="55" spans="1:14" x14ac:dyDescent="0.3">
      <c r="A55" s="106"/>
      <c r="B55" s="107"/>
      <c r="C55" s="107"/>
      <c r="D55" s="113"/>
      <c r="F55" s="103"/>
      <c r="G55" s="104"/>
      <c r="H55" s="109"/>
      <c r="I55" s="131"/>
      <c r="J55" s="131"/>
      <c r="K55" s="131"/>
      <c r="L55" s="131"/>
      <c r="M55" s="30"/>
      <c r="N55" s="16"/>
    </row>
    <row r="56" spans="1:14" x14ac:dyDescent="0.3">
      <c r="A56" s="106"/>
      <c r="B56" s="107"/>
      <c r="C56" s="107"/>
      <c r="D56" s="114"/>
      <c r="F56" s="103"/>
      <c r="G56" s="104"/>
      <c r="H56" s="109"/>
      <c r="I56" s="131"/>
      <c r="J56" s="131"/>
      <c r="K56" s="131"/>
      <c r="L56" s="131"/>
      <c r="M56" s="30"/>
      <c r="N56" s="16"/>
    </row>
    <row r="57" spans="1:14" x14ac:dyDescent="0.3">
      <c r="A57" s="106"/>
      <c r="B57" s="107"/>
      <c r="C57" s="107"/>
      <c r="D57" s="113"/>
      <c r="F57" s="103"/>
      <c r="G57" s="104"/>
      <c r="H57" s="109"/>
      <c r="I57" s="131"/>
      <c r="J57" s="131"/>
      <c r="K57" s="131"/>
      <c r="L57" s="131"/>
      <c r="M57" s="30"/>
      <c r="N57" s="16"/>
    </row>
    <row r="58" spans="1:14" x14ac:dyDescent="0.3">
      <c r="A58" s="106"/>
      <c r="B58" s="107"/>
      <c r="C58" s="107"/>
      <c r="D58" s="114"/>
      <c r="F58" s="103"/>
      <c r="G58" s="104"/>
      <c r="H58" s="109"/>
      <c r="I58" s="131"/>
      <c r="J58" s="131"/>
      <c r="K58" s="131"/>
      <c r="L58" s="131"/>
      <c r="M58" s="30"/>
      <c r="N58" s="16"/>
    </row>
    <row r="59" spans="1:14" x14ac:dyDescent="0.3">
      <c r="A59" s="106"/>
      <c r="B59" s="107"/>
      <c r="C59" s="107"/>
      <c r="D59" s="113"/>
      <c r="F59" s="103"/>
      <c r="G59" s="104"/>
      <c r="H59" s="109"/>
      <c r="I59" s="131"/>
      <c r="J59" s="190"/>
      <c r="K59" s="190"/>
      <c r="L59" s="131"/>
      <c r="M59" s="30"/>
      <c r="N59" s="16"/>
    </row>
    <row r="60" spans="1:14" x14ac:dyDescent="0.3">
      <c r="A60" s="106"/>
      <c r="B60" s="107"/>
      <c r="C60" s="107"/>
      <c r="D60" s="114"/>
      <c r="F60" s="103"/>
      <c r="G60" s="104"/>
      <c r="H60" s="109"/>
      <c r="I60" s="189"/>
      <c r="J60" s="189"/>
      <c r="K60" s="189"/>
      <c r="L60" s="189"/>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78" t="s">
        <v>56</v>
      </c>
      <c r="B65" s="179"/>
      <c r="C65" s="179"/>
      <c r="D65" s="96">
        <f>SUM(Pest_72[Amount])</f>
        <v>0</v>
      </c>
      <c r="F65" s="173" t="s">
        <v>33</v>
      </c>
      <c r="G65" s="174"/>
      <c r="H65" s="174"/>
    </row>
    <row r="66" spans="1:8" x14ac:dyDescent="0.3">
      <c r="F66" s="173"/>
      <c r="G66" s="174"/>
      <c r="H66" s="174"/>
    </row>
    <row r="67" spans="1:8" ht="17.399999999999999" x14ac:dyDescent="0.3">
      <c r="A67" s="198" t="s">
        <v>69</v>
      </c>
      <c r="B67" s="198"/>
      <c r="C67" s="198"/>
      <c r="D67" s="198"/>
      <c r="E67" s="17"/>
      <c r="F67" s="183" t="s">
        <v>57</v>
      </c>
      <c r="G67" s="184"/>
      <c r="H67" s="185"/>
    </row>
    <row r="68" spans="1:8" x14ac:dyDescent="0.3">
      <c r="A68" s="21" t="s">
        <v>21</v>
      </c>
      <c r="B68" s="22" t="s">
        <v>22</v>
      </c>
      <c r="C68" s="22" t="s">
        <v>23</v>
      </c>
      <c r="D68" s="23" t="s">
        <v>25</v>
      </c>
      <c r="E68" s="24"/>
      <c r="F68" s="186"/>
      <c r="G68" s="187"/>
      <c r="H68" s="188"/>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78" t="s">
        <v>58</v>
      </c>
      <c r="B84" s="179"/>
      <c r="C84" s="179"/>
      <c r="D84" s="96">
        <f>SUM(Garbage_72[Amount])</f>
        <v>0</v>
      </c>
      <c r="E84" s="34"/>
      <c r="F84" s="173" t="s">
        <v>33</v>
      </c>
      <c r="G84" s="174"/>
      <c r="H84" s="174"/>
    </row>
    <row r="85" spans="1:8" x14ac:dyDescent="0.3">
      <c r="A85" s="38"/>
      <c r="B85" s="38"/>
      <c r="C85" s="38"/>
      <c r="D85" s="39"/>
      <c r="E85" s="40"/>
      <c r="F85" s="173"/>
      <c r="G85" s="174"/>
      <c r="H85" s="174"/>
    </row>
    <row r="86" spans="1:8" ht="17.399999999999999" x14ac:dyDescent="0.3">
      <c r="A86" s="191" t="s">
        <v>59</v>
      </c>
      <c r="B86" s="192"/>
      <c r="C86" s="192"/>
      <c r="D86" s="193"/>
      <c r="E86" s="17"/>
      <c r="F86" s="183" t="s">
        <v>60</v>
      </c>
      <c r="G86" s="184"/>
      <c r="H86" s="185"/>
    </row>
    <row r="87" spans="1:8" x14ac:dyDescent="0.3">
      <c r="A87" s="21" t="s">
        <v>21</v>
      </c>
      <c r="B87" s="22" t="s">
        <v>22</v>
      </c>
      <c r="C87" s="22" t="s">
        <v>23</v>
      </c>
      <c r="D87" s="23" t="s">
        <v>25</v>
      </c>
      <c r="E87" s="41"/>
      <c r="F87" s="186"/>
      <c r="G87" s="187"/>
      <c r="H87" s="188"/>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78" t="s">
        <v>61</v>
      </c>
      <c r="B103" s="179"/>
      <c r="C103" s="179"/>
      <c r="D103" s="96">
        <f>SUM(Boarding_72[Amount])</f>
        <v>0</v>
      </c>
      <c r="E103" s="34"/>
      <c r="F103" s="173" t="s">
        <v>33</v>
      </c>
      <c r="G103" s="174"/>
      <c r="H103" s="174"/>
    </row>
    <row r="104" spans="1:8" x14ac:dyDescent="0.3">
      <c r="A104" s="38"/>
      <c r="B104" s="38"/>
      <c r="C104" s="38"/>
      <c r="D104" s="39"/>
      <c r="E104" s="40"/>
      <c r="F104" s="173"/>
      <c r="G104" s="174"/>
      <c r="H104" s="174"/>
    </row>
    <row r="105" spans="1:8" ht="17.399999999999999" x14ac:dyDescent="0.3">
      <c r="A105" s="191" t="s">
        <v>70</v>
      </c>
      <c r="B105" s="192"/>
      <c r="C105" s="192"/>
      <c r="D105" s="193"/>
      <c r="E105" s="17"/>
      <c r="F105" s="183" t="s">
        <v>62</v>
      </c>
      <c r="G105" s="184"/>
      <c r="H105" s="185"/>
    </row>
    <row r="106" spans="1:8" x14ac:dyDescent="0.3">
      <c r="A106" s="21" t="s">
        <v>21</v>
      </c>
      <c r="B106" s="22" t="s">
        <v>22</v>
      </c>
      <c r="C106" s="22" t="s">
        <v>23</v>
      </c>
      <c r="D106" s="23" t="s">
        <v>25</v>
      </c>
      <c r="E106" s="41"/>
      <c r="F106" s="186"/>
      <c r="G106" s="187"/>
      <c r="H106" s="188"/>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78" t="s">
        <v>63</v>
      </c>
      <c r="B122" s="179"/>
      <c r="C122" s="179"/>
      <c r="D122" s="96">
        <f>SUM(Fence_72[Amount])</f>
        <v>0</v>
      </c>
      <c r="E122" s="34"/>
      <c r="F122" s="173" t="s">
        <v>33</v>
      </c>
      <c r="G122" s="174"/>
      <c r="H122" s="174"/>
    </row>
    <row r="123" spans="1:8" x14ac:dyDescent="0.3">
      <c r="F123" s="173"/>
      <c r="G123" s="174"/>
      <c r="H123" s="174"/>
    </row>
    <row r="124" spans="1:8" ht="17.399999999999999" x14ac:dyDescent="0.3">
      <c r="A124" s="191" t="s">
        <v>26</v>
      </c>
      <c r="B124" s="192"/>
      <c r="C124" s="192"/>
      <c r="D124" s="193"/>
      <c r="E124" s="17"/>
      <c r="F124" s="183" t="s">
        <v>11</v>
      </c>
      <c r="G124" s="184"/>
      <c r="H124" s="185"/>
    </row>
    <row r="125" spans="1:8" x14ac:dyDescent="0.3">
      <c r="A125" s="21" t="s">
        <v>21</v>
      </c>
      <c r="B125" s="22" t="s">
        <v>22</v>
      </c>
      <c r="C125" s="22" t="s">
        <v>23</v>
      </c>
      <c r="D125" s="23" t="s">
        <v>25</v>
      </c>
      <c r="E125" s="41"/>
      <c r="F125" s="186"/>
      <c r="G125" s="187"/>
      <c r="H125" s="188"/>
    </row>
    <row r="126" spans="1:8" x14ac:dyDescent="0.3">
      <c r="A126" s="100"/>
      <c r="B126" s="101"/>
      <c r="C126" s="101"/>
      <c r="D126" s="112">
        <v>64510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78" t="s">
        <v>27</v>
      </c>
      <c r="B141" s="179"/>
      <c r="C141" s="179"/>
      <c r="D141" s="96">
        <f>SUM(Demolition_72[Amount])</f>
        <v>64510</v>
      </c>
      <c r="E141" s="34"/>
      <c r="F141" s="173" t="s">
        <v>33</v>
      </c>
      <c r="G141" s="174"/>
      <c r="H141" s="174"/>
    </row>
    <row r="142" spans="1:8" x14ac:dyDescent="0.3">
      <c r="A142" s="38"/>
      <c r="B142" s="38"/>
      <c r="C142" s="38"/>
      <c r="D142" s="39"/>
      <c r="E142" s="40"/>
      <c r="F142" s="173"/>
      <c r="G142" s="174"/>
      <c r="H142" s="174"/>
    </row>
    <row r="143" spans="1:8" ht="17.399999999999999" x14ac:dyDescent="0.3">
      <c r="A143" s="191" t="s">
        <v>64</v>
      </c>
      <c r="B143" s="192"/>
      <c r="C143" s="192"/>
      <c r="D143" s="193"/>
      <c r="E143" s="17"/>
      <c r="F143" s="183" t="s">
        <v>44</v>
      </c>
      <c r="G143" s="184"/>
      <c r="H143" s="185"/>
    </row>
    <row r="144" spans="1:8" x14ac:dyDescent="0.3">
      <c r="A144" s="21" t="s">
        <v>21</v>
      </c>
      <c r="B144" s="22" t="s">
        <v>22</v>
      </c>
      <c r="C144" s="22" t="s">
        <v>23</v>
      </c>
      <c r="D144" s="23" t="s">
        <v>25</v>
      </c>
      <c r="E144" s="41"/>
      <c r="F144" s="186"/>
      <c r="G144" s="187"/>
      <c r="H144" s="188"/>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78" t="s">
        <v>65</v>
      </c>
      <c r="B160" s="179"/>
      <c r="C160" s="179"/>
      <c r="D160" s="96">
        <f>SUM(Rehab_72[Amount])</f>
        <v>0</v>
      </c>
      <c r="E160" s="34"/>
      <c r="F160" s="173" t="s">
        <v>33</v>
      </c>
      <c r="G160" s="174"/>
      <c r="H160" s="174"/>
    </row>
    <row r="161" spans="6:8" x14ac:dyDescent="0.3">
      <c r="F161" s="173"/>
      <c r="G161" s="174"/>
      <c r="H161" s="174"/>
    </row>
  </sheetData>
  <sheetProtection algorithmName="SHA-512" hashValue="w40LabkiOLcuEyUmHDgEuGAxqs548hnqdxweyvqA/SyKiTsVyAnP5uSoXOXNYKVdirhnitCoqSsO6sMefAyq5Q==" saltValue="3v61qw9vqNBW1mYS5/lyAw=="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61"/>
  <sheetViews>
    <sheetView showGridLines="0" zoomScaleNormal="100" workbookViewId="0">
      <pane ySplit="9" topLeftCell="A124"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5" t="s">
        <v>24</v>
      </c>
      <c r="B1" s="175"/>
      <c r="C1" s="175"/>
      <c r="D1" s="175"/>
      <c r="E1" s="1"/>
      <c r="F1" s="2"/>
      <c r="G1" s="2"/>
      <c r="H1" s="1"/>
    </row>
    <row r="2" spans="1:14" ht="24.9" customHeight="1" x14ac:dyDescent="0.3">
      <c r="A2" s="176" t="s">
        <v>71</v>
      </c>
      <c r="B2" s="176"/>
      <c r="C2" s="176"/>
      <c r="D2" s="176"/>
      <c r="E2" s="4"/>
      <c r="F2" s="130"/>
      <c r="G2" s="130"/>
      <c r="H2" s="5"/>
    </row>
    <row r="3" spans="1:14" ht="31.5" customHeight="1" x14ac:dyDescent="0.3">
      <c r="A3" s="176"/>
      <c r="B3" s="176"/>
      <c r="C3" s="176"/>
      <c r="D3" s="176"/>
      <c r="E3" s="4"/>
      <c r="F3" s="130"/>
      <c r="G3" s="130"/>
      <c r="H3" s="5"/>
    </row>
    <row r="4" spans="1:14" ht="15" customHeight="1" x14ac:dyDescent="0.25">
      <c r="A4" s="75" t="s">
        <v>19</v>
      </c>
      <c r="B4" s="194" t="str">
        <f>IF('Summary Sheet'!B105="","",'Summary Sheet'!B105)</f>
        <v>2830 W FILLMORE ST</v>
      </c>
      <c r="C4" s="194"/>
      <c r="D4" s="130"/>
      <c r="E4" s="4"/>
      <c r="F4" s="130"/>
      <c r="G4" s="130"/>
      <c r="H4" s="5"/>
    </row>
    <row r="5" spans="1:14" ht="15" customHeight="1" x14ac:dyDescent="0.25">
      <c r="A5" s="75" t="s">
        <v>20</v>
      </c>
      <c r="B5" s="195" t="str">
        <f>IF('Summary Sheet'!C105="","",'Summary Sheet'!C105)</f>
        <v/>
      </c>
      <c r="C5" s="195"/>
      <c r="D5" s="130"/>
      <c r="E5" s="4"/>
      <c r="F5" s="130"/>
      <c r="G5" s="130"/>
      <c r="H5" s="5"/>
    </row>
    <row r="6" spans="1:14" ht="15" customHeight="1" x14ac:dyDescent="0.25">
      <c r="A6" s="75" t="s">
        <v>36</v>
      </c>
      <c r="B6" s="177"/>
      <c r="C6" s="177"/>
      <c r="D6" s="6"/>
      <c r="E6" s="7"/>
    </row>
    <row r="7" spans="1:14" ht="15" customHeight="1" x14ac:dyDescent="0.25">
      <c r="A7" s="7"/>
      <c r="B7" s="196" t="s">
        <v>34</v>
      </c>
      <c r="C7" s="196"/>
      <c r="D7" s="10"/>
    </row>
    <row r="8" spans="1:14" ht="20.100000000000001" customHeight="1" x14ac:dyDescent="0.25">
      <c r="B8" s="11"/>
      <c r="C8" s="11"/>
      <c r="D8" s="12" t="s">
        <v>31</v>
      </c>
      <c r="F8" s="180" t="s">
        <v>32</v>
      </c>
      <c r="G8" s="181"/>
      <c r="H8" s="182"/>
    </row>
    <row r="9" spans="1:14" s="14" customFormat="1" ht="20.100000000000001" customHeight="1" x14ac:dyDescent="0.25">
      <c r="A9" s="197"/>
      <c r="B9" s="197"/>
      <c r="C9" s="197"/>
      <c r="D9" s="13">
        <f>SUM(D27,D46,D65,D84,D103,D122,D141,D160)</f>
        <v>26510</v>
      </c>
      <c r="F9" s="15" t="s">
        <v>28</v>
      </c>
      <c r="G9" s="15" t="s">
        <v>29</v>
      </c>
      <c r="H9" s="15" t="s">
        <v>30</v>
      </c>
      <c r="I9" s="16"/>
      <c r="J9" s="16"/>
      <c r="K9" s="16"/>
      <c r="L9" s="16"/>
      <c r="M9" s="16"/>
      <c r="N9" s="16"/>
    </row>
    <row r="10" spans="1:14" s="17" customFormat="1" ht="23.1" customHeight="1" x14ac:dyDescent="0.3">
      <c r="A10" s="198" t="s">
        <v>51</v>
      </c>
      <c r="B10" s="198"/>
      <c r="C10" s="198"/>
      <c r="D10" s="198"/>
      <c r="F10" s="183" t="s">
        <v>66</v>
      </c>
      <c r="G10" s="184"/>
      <c r="H10" s="185"/>
      <c r="I10" s="18"/>
      <c r="J10" s="18"/>
      <c r="K10" s="18"/>
      <c r="L10" s="18"/>
      <c r="M10" s="19"/>
      <c r="N10" s="20"/>
    </row>
    <row r="11" spans="1:14" s="24" customFormat="1" ht="12.75" customHeight="1" x14ac:dyDescent="0.25">
      <c r="A11" s="21" t="s">
        <v>21</v>
      </c>
      <c r="B11" s="22" t="s">
        <v>22</v>
      </c>
      <c r="C11" s="22" t="s">
        <v>23</v>
      </c>
      <c r="D11" s="23" t="s">
        <v>25</v>
      </c>
      <c r="F11" s="186"/>
      <c r="G11" s="187"/>
      <c r="H11" s="188"/>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78" t="s">
        <v>53</v>
      </c>
      <c r="B27" s="179"/>
      <c r="C27" s="179"/>
      <c r="D27" s="96">
        <f>SUM(Grass_73[Amount])</f>
        <v>0</v>
      </c>
      <c r="F27" s="173" t="s">
        <v>33</v>
      </c>
      <c r="G27" s="174"/>
      <c r="H27" s="174"/>
      <c r="I27" s="35"/>
      <c r="J27" s="35"/>
      <c r="K27" s="35"/>
      <c r="L27" s="35"/>
      <c r="M27" s="36"/>
      <c r="N27" s="37"/>
    </row>
    <row r="28" spans="1:14" s="40" customFormat="1" ht="11.1" customHeight="1" x14ac:dyDescent="0.3">
      <c r="A28" s="38"/>
      <c r="B28" s="38"/>
      <c r="C28" s="38"/>
      <c r="D28" s="39"/>
      <c r="F28" s="173"/>
      <c r="G28" s="174"/>
      <c r="H28" s="174"/>
      <c r="I28" s="35"/>
      <c r="J28" s="35"/>
      <c r="K28" s="35"/>
      <c r="L28" s="35"/>
      <c r="M28" s="36"/>
      <c r="N28" s="37"/>
    </row>
    <row r="29" spans="1:14" s="17" customFormat="1" ht="23.1" customHeight="1" x14ac:dyDescent="0.3">
      <c r="A29" s="191" t="s">
        <v>67</v>
      </c>
      <c r="B29" s="192"/>
      <c r="C29" s="192"/>
      <c r="D29" s="193"/>
      <c r="F29" s="183" t="s">
        <v>52</v>
      </c>
      <c r="G29" s="184"/>
      <c r="H29" s="185"/>
      <c r="I29" s="18"/>
      <c r="J29" s="18"/>
      <c r="K29" s="18"/>
      <c r="L29" s="18"/>
      <c r="M29" s="19"/>
      <c r="N29" s="20"/>
    </row>
    <row r="30" spans="1:14" s="41" customFormat="1" ht="12.75" customHeight="1" x14ac:dyDescent="0.25">
      <c r="A30" s="21" t="s">
        <v>21</v>
      </c>
      <c r="B30" s="22" t="s">
        <v>22</v>
      </c>
      <c r="C30" s="22" t="s">
        <v>23</v>
      </c>
      <c r="D30" s="23" t="s">
        <v>25</v>
      </c>
      <c r="F30" s="186"/>
      <c r="G30" s="187"/>
      <c r="H30" s="188"/>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31"/>
      <c r="J44" s="29"/>
      <c r="K44" s="29"/>
      <c r="L44" s="131"/>
      <c r="M44" s="30"/>
      <c r="N44" s="16"/>
    </row>
    <row r="45" spans="1:14" x14ac:dyDescent="0.3">
      <c r="A45" s="106"/>
      <c r="B45" s="107"/>
      <c r="C45" s="107"/>
      <c r="D45" s="114"/>
      <c r="F45" s="103"/>
      <c r="G45" s="104"/>
      <c r="H45" s="109"/>
      <c r="I45" s="131"/>
      <c r="J45" s="29"/>
      <c r="K45" s="29"/>
      <c r="L45" s="131"/>
      <c r="M45" s="30"/>
      <c r="N45" s="16"/>
    </row>
    <row r="46" spans="1:14" s="34" customFormat="1" x14ac:dyDescent="0.3">
      <c r="A46" s="178" t="s">
        <v>54</v>
      </c>
      <c r="B46" s="179"/>
      <c r="C46" s="179"/>
      <c r="D46" s="96">
        <f>SUM(Tree_73[Amount])</f>
        <v>0</v>
      </c>
      <c r="F46" s="173" t="s">
        <v>33</v>
      </c>
      <c r="G46" s="174"/>
      <c r="H46" s="174"/>
      <c r="I46" s="43"/>
      <c r="J46" s="43"/>
      <c r="K46" s="43"/>
      <c r="L46" s="43"/>
      <c r="M46" s="36"/>
      <c r="N46" s="37"/>
    </row>
    <row r="47" spans="1:14" s="40" customFormat="1" ht="11.1" customHeight="1" x14ac:dyDescent="0.3">
      <c r="A47" s="38"/>
      <c r="B47" s="38"/>
      <c r="C47" s="38"/>
      <c r="D47" s="39"/>
      <c r="F47" s="173"/>
      <c r="G47" s="174"/>
      <c r="H47" s="174"/>
      <c r="I47" s="43"/>
      <c r="J47" s="43"/>
      <c r="K47" s="43"/>
      <c r="L47" s="43"/>
      <c r="M47" s="36"/>
      <c r="N47" s="37"/>
    </row>
    <row r="48" spans="1:14" s="17" customFormat="1" ht="23.1" customHeight="1" x14ac:dyDescent="0.3">
      <c r="A48" s="191" t="s">
        <v>68</v>
      </c>
      <c r="B48" s="192"/>
      <c r="C48" s="192"/>
      <c r="D48" s="193"/>
      <c r="F48" s="183" t="s">
        <v>55</v>
      </c>
      <c r="G48" s="184"/>
      <c r="H48" s="185"/>
      <c r="I48" s="44"/>
      <c r="J48" s="44"/>
      <c r="K48" s="44"/>
      <c r="L48" s="44"/>
      <c r="M48" s="19"/>
      <c r="N48" s="20"/>
    </row>
    <row r="49" spans="1:14" s="41" customFormat="1" ht="12.75" customHeight="1" x14ac:dyDescent="0.25">
      <c r="A49" s="21" t="s">
        <v>21</v>
      </c>
      <c r="B49" s="22" t="s">
        <v>22</v>
      </c>
      <c r="C49" s="22" t="s">
        <v>23</v>
      </c>
      <c r="D49" s="23" t="s">
        <v>25</v>
      </c>
      <c r="F49" s="186"/>
      <c r="G49" s="187"/>
      <c r="H49" s="188"/>
      <c r="I49" s="131"/>
      <c r="J49" s="131"/>
      <c r="K49" s="131"/>
      <c r="L49" s="131"/>
      <c r="M49" s="30"/>
      <c r="N49" s="42"/>
    </row>
    <row r="50" spans="1:14" x14ac:dyDescent="0.3">
      <c r="A50" s="100"/>
      <c r="B50" s="101"/>
      <c r="C50" s="101"/>
      <c r="D50" s="112"/>
      <c r="F50" s="103"/>
      <c r="G50" s="104"/>
      <c r="H50" s="109"/>
      <c r="I50" s="131"/>
      <c r="J50" s="131"/>
      <c r="K50" s="131"/>
      <c r="L50" s="131"/>
      <c r="M50" s="30"/>
      <c r="N50" s="16"/>
    </row>
    <row r="51" spans="1:14" x14ac:dyDescent="0.3">
      <c r="A51" s="106"/>
      <c r="B51" s="107"/>
      <c r="C51" s="107"/>
      <c r="D51" s="113"/>
      <c r="F51" s="103"/>
      <c r="G51" s="104"/>
      <c r="H51" s="109"/>
      <c r="I51" s="131"/>
      <c r="J51" s="131"/>
      <c r="K51" s="131"/>
      <c r="L51" s="131"/>
      <c r="M51" s="30"/>
      <c r="N51" s="16"/>
    </row>
    <row r="52" spans="1:14" x14ac:dyDescent="0.3">
      <c r="A52" s="106"/>
      <c r="B52" s="107"/>
      <c r="C52" s="107"/>
      <c r="D52" s="114"/>
      <c r="F52" s="103"/>
      <c r="H52" s="109"/>
      <c r="I52" s="131"/>
      <c r="J52" s="131"/>
      <c r="K52" s="131"/>
      <c r="L52" s="131"/>
      <c r="M52" s="30"/>
      <c r="N52" s="16"/>
    </row>
    <row r="53" spans="1:14" x14ac:dyDescent="0.3">
      <c r="A53" s="106"/>
      <c r="B53" s="107"/>
      <c r="C53" s="107"/>
      <c r="D53" s="113"/>
      <c r="F53" s="103"/>
      <c r="G53" s="104"/>
      <c r="H53" s="109"/>
      <c r="I53" s="131"/>
      <c r="J53" s="131"/>
      <c r="K53" s="131"/>
      <c r="L53" s="131"/>
      <c r="M53" s="30"/>
      <c r="N53" s="16"/>
    </row>
    <row r="54" spans="1:14" x14ac:dyDescent="0.3">
      <c r="A54" s="106"/>
      <c r="B54" s="107"/>
      <c r="C54" s="107"/>
      <c r="D54" s="114"/>
      <c r="F54" s="103"/>
      <c r="G54" s="104"/>
      <c r="H54" s="109"/>
      <c r="I54" s="131"/>
      <c r="J54" s="131"/>
      <c r="K54" s="131"/>
      <c r="L54" s="131"/>
      <c r="M54" s="30"/>
      <c r="N54" s="16"/>
    </row>
    <row r="55" spans="1:14" x14ac:dyDescent="0.3">
      <c r="A55" s="106"/>
      <c r="B55" s="107"/>
      <c r="C55" s="107"/>
      <c r="D55" s="113"/>
      <c r="F55" s="103"/>
      <c r="G55" s="104"/>
      <c r="H55" s="109"/>
      <c r="I55" s="131"/>
      <c r="J55" s="131"/>
      <c r="K55" s="131"/>
      <c r="L55" s="131"/>
      <c r="M55" s="30"/>
      <c r="N55" s="16"/>
    </row>
    <row r="56" spans="1:14" x14ac:dyDescent="0.3">
      <c r="A56" s="106"/>
      <c r="B56" s="107"/>
      <c r="C56" s="107"/>
      <c r="D56" s="114"/>
      <c r="F56" s="103"/>
      <c r="G56" s="104"/>
      <c r="H56" s="109"/>
      <c r="I56" s="131"/>
      <c r="J56" s="131"/>
      <c r="K56" s="131"/>
      <c r="L56" s="131"/>
      <c r="M56" s="30"/>
      <c r="N56" s="16"/>
    </row>
    <row r="57" spans="1:14" x14ac:dyDescent="0.3">
      <c r="A57" s="106"/>
      <c r="B57" s="107"/>
      <c r="C57" s="107"/>
      <c r="D57" s="113"/>
      <c r="F57" s="103"/>
      <c r="G57" s="104"/>
      <c r="H57" s="109"/>
      <c r="I57" s="131"/>
      <c r="J57" s="131"/>
      <c r="K57" s="131"/>
      <c r="L57" s="131"/>
      <c r="M57" s="30"/>
      <c r="N57" s="16"/>
    </row>
    <row r="58" spans="1:14" x14ac:dyDescent="0.3">
      <c r="A58" s="106"/>
      <c r="B58" s="107"/>
      <c r="C58" s="107"/>
      <c r="D58" s="114"/>
      <c r="F58" s="103"/>
      <c r="G58" s="104"/>
      <c r="H58" s="109"/>
      <c r="I58" s="131"/>
      <c r="J58" s="131"/>
      <c r="K58" s="131"/>
      <c r="L58" s="131"/>
      <c r="M58" s="30"/>
      <c r="N58" s="16"/>
    </row>
    <row r="59" spans="1:14" x14ac:dyDescent="0.3">
      <c r="A59" s="106"/>
      <c r="B59" s="107"/>
      <c r="C59" s="107"/>
      <c r="D59" s="113"/>
      <c r="F59" s="103"/>
      <c r="G59" s="104"/>
      <c r="H59" s="109"/>
      <c r="I59" s="131"/>
      <c r="J59" s="190"/>
      <c r="K59" s="190"/>
      <c r="L59" s="131"/>
      <c r="M59" s="30"/>
      <c r="N59" s="16"/>
    </row>
    <row r="60" spans="1:14" x14ac:dyDescent="0.3">
      <c r="A60" s="106"/>
      <c r="B60" s="107"/>
      <c r="C60" s="107"/>
      <c r="D60" s="114"/>
      <c r="F60" s="103"/>
      <c r="G60" s="104"/>
      <c r="H60" s="109"/>
      <c r="I60" s="189"/>
      <c r="J60" s="189"/>
      <c r="K60" s="189"/>
      <c r="L60" s="189"/>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78" t="s">
        <v>56</v>
      </c>
      <c r="B65" s="179"/>
      <c r="C65" s="179"/>
      <c r="D65" s="96">
        <f>SUM(Pest_73[Amount])</f>
        <v>0</v>
      </c>
      <c r="F65" s="173" t="s">
        <v>33</v>
      </c>
      <c r="G65" s="174"/>
      <c r="H65" s="174"/>
    </row>
    <row r="66" spans="1:8" x14ac:dyDescent="0.3">
      <c r="F66" s="173"/>
      <c r="G66" s="174"/>
      <c r="H66" s="174"/>
    </row>
    <row r="67" spans="1:8" ht="17.399999999999999" x14ac:dyDescent="0.3">
      <c r="A67" s="198" t="s">
        <v>69</v>
      </c>
      <c r="B67" s="198"/>
      <c r="C67" s="198"/>
      <c r="D67" s="198"/>
      <c r="E67" s="17"/>
      <c r="F67" s="183" t="s">
        <v>57</v>
      </c>
      <c r="G67" s="184"/>
      <c r="H67" s="185"/>
    </row>
    <row r="68" spans="1:8" x14ac:dyDescent="0.3">
      <c r="A68" s="21" t="s">
        <v>21</v>
      </c>
      <c r="B68" s="22" t="s">
        <v>22</v>
      </c>
      <c r="C68" s="22" t="s">
        <v>23</v>
      </c>
      <c r="D68" s="23" t="s">
        <v>25</v>
      </c>
      <c r="E68" s="24"/>
      <c r="F68" s="186"/>
      <c r="G68" s="187"/>
      <c r="H68" s="188"/>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78" t="s">
        <v>58</v>
      </c>
      <c r="B84" s="179"/>
      <c r="C84" s="179"/>
      <c r="D84" s="96">
        <f>SUM(Garbage_73[Amount])</f>
        <v>0</v>
      </c>
      <c r="E84" s="34"/>
      <c r="F84" s="173" t="s">
        <v>33</v>
      </c>
      <c r="G84" s="174"/>
      <c r="H84" s="174"/>
    </row>
    <row r="85" spans="1:8" x14ac:dyDescent="0.3">
      <c r="A85" s="38"/>
      <c r="B85" s="38"/>
      <c r="C85" s="38"/>
      <c r="D85" s="39"/>
      <c r="E85" s="40"/>
      <c r="F85" s="173"/>
      <c r="G85" s="174"/>
      <c r="H85" s="174"/>
    </row>
    <row r="86" spans="1:8" ht="17.399999999999999" x14ac:dyDescent="0.3">
      <c r="A86" s="191" t="s">
        <v>59</v>
      </c>
      <c r="B86" s="192"/>
      <c r="C86" s="192"/>
      <c r="D86" s="193"/>
      <c r="E86" s="17"/>
      <c r="F86" s="183" t="s">
        <v>60</v>
      </c>
      <c r="G86" s="184"/>
      <c r="H86" s="185"/>
    </row>
    <row r="87" spans="1:8" x14ac:dyDescent="0.3">
      <c r="A87" s="21" t="s">
        <v>21</v>
      </c>
      <c r="B87" s="22" t="s">
        <v>22</v>
      </c>
      <c r="C87" s="22" t="s">
        <v>23</v>
      </c>
      <c r="D87" s="23" t="s">
        <v>25</v>
      </c>
      <c r="E87" s="41"/>
      <c r="F87" s="186"/>
      <c r="G87" s="187"/>
      <c r="H87" s="188"/>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78" t="s">
        <v>61</v>
      </c>
      <c r="B103" s="179"/>
      <c r="C103" s="179"/>
      <c r="D103" s="96">
        <f>SUM(Boarding_73[Amount])</f>
        <v>0</v>
      </c>
      <c r="E103" s="34"/>
      <c r="F103" s="173" t="s">
        <v>33</v>
      </c>
      <c r="G103" s="174"/>
      <c r="H103" s="174"/>
    </row>
    <row r="104" spans="1:8" x14ac:dyDescent="0.3">
      <c r="A104" s="38"/>
      <c r="B104" s="38"/>
      <c r="C104" s="38"/>
      <c r="D104" s="39"/>
      <c r="E104" s="40"/>
      <c r="F104" s="173"/>
      <c r="G104" s="174"/>
      <c r="H104" s="174"/>
    </row>
    <row r="105" spans="1:8" ht="17.399999999999999" x14ac:dyDescent="0.3">
      <c r="A105" s="191" t="s">
        <v>70</v>
      </c>
      <c r="B105" s="192"/>
      <c r="C105" s="192"/>
      <c r="D105" s="193"/>
      <c r="E105" s="17"/>
      <c r="F105" s="183" t="s">
        <v>62</v>
      </c>
      <c r="G105" s="184"/>
      <c r="H105" s="185"/>
    </row>
    <row r="106" spans="1:8" x14ac:dyDescent="0.3">
      <c r="A106" s="21" t="s">
        <v>21</v>
      </c>
      <c r="B106" s="22" t="s">
        <v>22</v>
      </c>
      <c r="C106" s="22" t="s">
        <v>23</v>
      </c>
      <c r="D106" s="23" t="s">
        <v>25</v>
      </c>
      <c r="E106" s="41"/>
      <c r="F106" s="186"/>
      <c r="G106" s="187"/>
      <c r="H106" s="188"/>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78" t="s">
        <v>63</v>
      </c>
      <c r="B122" s="179"/>
      <c r="C122" s="179"/>
      <c r="D122" s="96">
        <f>SUM(Fence_73[Amount])</f>
        <v>0</v>
      </c>
      <c r="E122" s="34"/>
      <c r="F122" s="173" t="s">
        <v>33</v>
      </c>
      <c r="G122" s="174"/>
      <c r="H122" s="174"/>
    </row>
    <row r="123" spans="1:8" x14ac:dyDescent="0.3">
      <c r="F123" s="173"/>
      <c r="G123" s="174"/>
      <c r="H123" s="174"/>
    </row>
    <row r="124" spans="1:8" ht="17.399999999999999" x14ac:dyDescent="0.3">
      <c r="A124" s="191" t="s">
        <v>26</v>
      </c>
      <c r="B124" s="192"/>
      <c r="C124" s="192"/>
      <c r="D124" s="193"/>
      <c r="E124" s="17"/>
      <c r="F124" s="183" t="s">
        <v>11</v>
      </c>
      <c r="G124" s="184"/>
      <c r="H124" s="185"/>
    </row>
    <row r="125" spans="1:8" x14ac:dyDescent="0.3">
      <c r="A125" s="21" t="s">
        <v>21</v>
      </c>
      <c r="B125" s="22" t="s">
        <v>22</v>
      </c>
      <c r="C125" s="22" t="s">
        <v>23</v>
      </c>
      <c r="D125" s="23" t="s">
        <v>25</v>
      </c>
      <c r="E125" s="41"/>
      <c r="F125" s="186"/>
      <c r="G125" s="187"/>
      <c r="H125" s="188"/>
    </row>
    <row r="126" spans="1:8" x14ac:dyDescent="0.3">
      <c r="A126" s="100"/>
      <c r="B126" s="101"/>
      <c r="C126" s="101"/>
      <c r="D126" s="112">
        <v>26510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78" t="s">
        <v>27</v>
      </c>
      <c r="B141" s="179"/>
      <c r="C141" s="179"/>
      <c r="D141" s="96">
        <f>SUM(Demolition_73[Amount])</f>
        <v>26510</v>
      </c>
      <c r="E141" s="34"/>
      <c r="F141" s="173" t="s">
        <v>33</v>
      </c>
      <c r="G141" s="174"/>
      <c r="H141" s="174"/>
    </row>
    <row r="142" spans="1:8" x14ac:dyDescent="0.3">
      <c r="A142" s="38"/>
      <c r="B142" s="38"/>
      <c r="C142" s="38"/>
      <c r="D142" s="39"/>
      <c r="E142" s="40"/>
      <c r="F142" s="173"/>
      <c r="G142" s="174"/>
      <c r="H142" s="174"/>
    </row>
    <row r="143" spans="1:8" ht="17.399999999999999" x14ac:dyDescent="0.3">
      <c r="A143" s="191" t="s">
        <v>64</v>
      </c>
      <c r="B143" s="192"/>
      <c r="C143" s="192"/>
      <c r="D143" s="193"/>
      <c r="E143" s="17"/>
      <c r="F143" s="183" t="s">
        <v>44</v>
      </c>
      <c r="G143" s="184"/>
      <c r="H143" s="185"/>
    </row>
    <row r="144" spans="1:8" x14ac:dyDescent="0.3">
      <c r="A144" s="21" t="s">
        <v>21</v>
      </c>
      <c r="B144" s="22" t="s">
        <v>22</v>
      </c>
      <c r="C144" s="22" t="s">
        <v>23</v>
      </c>
      <c r="D144" s="23" t="s">
        <v>25</v>
      </c>
      <c r="E144" s="41"/>
      <c r="F144" s="186"/>
      <c r="G144" s="187"/>
      <c r="H144" s="188"/>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78" t="s">
        <v>65</v>
      </c>
      <c r="B160" s="179"/>
      <c r="C160" s="179"/>
      <c r="D160" s="96">
        <f>SUM(Rehab_73[Amount])</f>
        <v>0</v>
      </c>
      <c r="E160" s="34"/>
      <c r="F160" s="173" t="s">
        <v>33</v>
      </c>
      <c r="G160" s="174"/>
      <c r="H160" s="174"/>
    </row>
    <row r="161" spans="6:8" x14ac:dyDescent="0.3">
      <c r="F161" s="173"/>
      <c r="G161" s="174"/>
      <c r="H161" s="174"/>
    </row>
  </sheetData>
  <sheetProtection algorithmName="SHA-512" hashValue="LmzdnqLXHMOPCuIxjQBW3B4HQA+x/+2Rmp+xf0OoNCnQP9BPxHdQ1ZiM/r5rqS/fxID0vS/Y0w3v3vbyJAuCdA==" saltValue="L5RyIuayZoX1VW3n7k+lAg=="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61"/>
  <sheetViews>
    <sheetView showGridLines="0" zoomScaleNormal="100" workbookViewId="0">
      <pane ySplit="9" topLeftCell="A118"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5" t="s">
        <v>24</v>
      </c>
      <c r="B1" s="175"/>
      <c r="C1" s="175"/>
      <c r="D1" s="175"/>
      <c r="E1" s="1"/>
      <c r="F1" s="2"/>
      <c r="G1" s="2"/>
      <c r="H1" s="1"/>
    </row>
    <row r="2" spans="1:14" ht="24.9" customHeight="1" x14ac:dyDescent="0.3">
      <c r="A2" s="176" t="s">
        <v>71</v>
      </c>
      <c r="B2" s="176"/>
      <c r="C2" s="176"/>
      <c r="D2" s="176"/>
      <c r="E2" s="4"/>
      <c r="F2" s="130"/>
      <c r="G2" s="130"/>
      <c r="H2" s="5"/>
    </row>
    <row r="3" spans="1:14" ht="31.5" customHeight="1" x14ac:dyDescent="0.3">
      <c r="A3" s="176"/>
      <c r="B3" s="176"/>
      <c r="C3" s="176"/>
      <c r="D3" s="176"/>
      <c r="E3" s="4"/>
      <c r="F3" s="130"/>
      <c r="G3" s="130"/>
      <c r="H3" s="5"/>
    </row>
    <row r="4" spans="1:14" ht="15" customHeight="1" x14ac:dyDescent="0.25">
      <c r="A4" s="75" t="s">
        <v>19</v>
      </c>
      <c r="B4" s="194" t="str">
        <f>IF('Summary Sheet'!B106="","",'Summary Sheet'!B106)</f>
        <v>2848 W FILLMORE ST</v>
      </c>
      <c r="C4" s="194"/>
      <c r="D4" s="130"/>
      <c r="E4" s="4"/>
      <c r="F4" s="130"/>
      <c r="G4" s="130"/>
      <c r="H4" s="5"/>
    </row>
    <row r="5" spans="1:14" ht="15" customHeight="1" x14ac:dyDescent="0.25">
      <c r="A5" s="75" t="s">
        <v>20</v>
      </c>
      <c r="B5" s="195" t="str">
        <f>IF('Summary Sheet'!C106="","",'Summary Sheet'!C106)</f>
        <v/>
      </c>
      <c r="C5" s="195"/>
      <c r="D5" s="130"/>
      <c r="E5" s="4"/>
      <c r="F5" s="130"/>
      <c r="G5" s="130"/>
      <c r="H5" s="5"/>
    </row>
    <row r="6" spans="1:14" ht="15" customHeight="1" x14ac:dyDescent="0.25">
      <c r="A6" s="75" t="s">
        <v>36</v>
      </c>
      <c r="B6" s="177"/>
      <c r="C6" s="177"/>
      <c r="D6" s="6"/>
      <c r="E6" s="7"/>
    </row>
    <row r="7" spans="1:14" ht="15" customHeight="1" x14ac:dyDescent="0.25">
      <c r="A7" s="7"/>
      <c r="B7" s="196" t="s">
        <v>34</v>
      </c>
      <c r="C7" s="196"/>
      <c r="D7" s="10"/>
    </row>
    <row r="8" spans="1:14" ht="20.100000000000001" customHeight="1" x14ac:dyDescent="0.25">
      <c r="B8" s="11"/>
      <c r="C8" s="11"/>
      <c r="D8" s="12" t="s">
        <v>31</v>
      </c>
      <c r="F8" s="180" t="s">
        <v>32</v>
      </c>
      <c r="G8" s="181"/>
      <c r="H8" s="182"/>
    </row>
    <row r="9" spans="1:14" s="14" customFormat="1" ht="20.100000000000001" customHeight="1" x14ac:dyDescent="0.25">
      <c r="A9" s="197"/>
      <c r="B9" s="197"/>
      <c r="C9" s="197"/>
      <c r="D9" s="13">
        <f>SUM(D27,D46,D65,D84,D103,D122,D141,D160)</f>
        <v>16510</v>
      </c>
      <c r="F9" s="15" t="s">
        <v>28</v>
      </c>
      <c r="G9" s="15" t="s">
        <v>29</v>
      </c>
      <c r="H9" s="15" t="s">
        <v>30</v>
      </c>
      <c r="I9" s="16"/>
      <c r="J9" s="16"/>
      <c r="K9" s="16"/>
      <c r="L9" s="16"/>
      <c r="M9" s="16"/>
      <c r="N9" s="16"/>
    </row>
    <row r="10" spans="1:14" s="17" customFormat="1" ht="23.1" customHeight="1" x14ac:dyDescent="0.3">
      <c r="A10" s="198" t="s">
        <v>51</v>
      </c>
      <c r="B10" s="198"/>
      <c r="C10" s="198"/>
      <c r="D10" s="198"/>
      <c r="F10" s="183" t="s">
        <v>66</v>
      </c>
      <c r="G10" s="184"/>
      <c r="H10" s="185"/>
      <c r="I10" s="18"/>
      <c r="J10" s="18"/>
      <c r="K10" s="18"/>
      <c r="L10" s="18"/>
      <c r="M10" s="19"/>
      <c r="N10" s="20"/>
    </row>
    <row r="11" spans="1:14" s="24" customFormat="1" ht="12.75" customHeight="1" x14ac:dyDescent="0.25">
      <c r="A11" s="21" t="s">
        <v>21</v>
      </c>
      <c r="B11" s="22" t="s">
        <v>22</v>
      </c>
      <c r="C11" s="22" t="s">
        <v>23</v>
      </c>
      <c r="D11" s="23" t="s">
        <v>25</v>
      </c>
      <c r="F11" s="186"/>
      <c r="G11" s="187"/>
      <c r="H11" s="188"/>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78" t="s">
        <v>53</v>
      </c>
      <c r="B27" s="179"/>
      <c r="C27" s="179"/>
      <c r="D27" s="96">
        <f>SUM(Grass_74[Amount])</f>
        <v>0</v>
      </c>
      <c r="F27" s="173" t="s">
        <v>33</v>
      </c>
      <c r="G27" s="174"/>
      <c r="H27" s="174"/>
      <c r="I27" s="35"/>
      <c r="J27" s="35"/>
      <c r="K27" s="35"/>
      <c r="L27" s="35"/>
      <c r="M27" s="36"/>
      <c r="N27" s="37"/>
    </row>
    <row r="28" spans="1:14" s="40" customFormat="1" ht="11.1" customHeight="1" x14ac:dyDescent="0.3">
      <c r="A28" s="38"/>
      <c r="B28" s="38"/>
      <c r="C28" s="38"/>
      <c r="D28" s="39"/>
      <c r="F28" s="173"/>
      <c r="G28" s="174"/>
      <c r="H28" s="174"/>
      <c r="I28" s="35"/>
      <c r="J28" s="35"/>
      <c r="K28" s="35"/>
      <c r="L28" s="35"/>
      <c r="M28" s="36"/>
      <c r="N28" s="37"/>
    </row>
    <row r="29" spans="1:14" s="17" customFormat="1" ht="23.1" customHeight="1" x14ac:dyDescent="0.3">
      <c r="A29" s="191" t="s">
        <v>67</v>
      </c>
      <c r="B29" s="192"/>
      <c r="C29" s="192"/>
      <c r="D29" s="193"/>
      <c r="F29" s="183" t="s">
        <v>52</v>
      </c>
      <c r="G29" s="184"/>
      <c r="H29" s="185"/>
      <c r="I29" s="18"/>
      <c r="J29" s="18"/>
      <c r="K29" s="18"/>
      <c r="L29" s="18"/>
      <c r="M29" s="19"/>
      <c r="N29" s="20"/>
    </row>
    <row r="30" spans="1:14" s="41" customFormat="1" ht="12.75" customHeight="1" x14ac:dyDescent="0.25">
      <c r="A30" s="21" t="s">
        <v>21</v>
      </c>
      <c r="B30" s="22" t="s">
        <v>22</v>
      </c>
      <c r="C30" s="22" t="s">
        <v>23</v>
      </c>
      <c r="D30" s="23" t="s">
        <v>25</v>
      </c>
      <c r="F30" s="186"/>
      <c r="G30" s="187"/>
      <c r="H30" s="188"/>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31"/>
      <c r="J44" s="29"/>
      <c r="K44" s="29"/>
      <c r="L44" s="131"/>
      <c r="M44" s="30"/>
      <c r="N44" s="16"/>
    </row>
    <row r="45" spans="1:14" x14ac:dyDescent="0.3">
      <c r="A45" s="106"/>
      <c r="B45" s="107"/>
      <c r="C45" s="107"/>
      <c r="D45" s="114"/>
      <c r="F45" s="103"/>
      <c r="G45" s="104"/>
      <c r="H45" s="109"/>
      <c r="I45" s="131"/>
      <c r="J45" s="29"/>
      <c r="K45" s="29"/>
      <c r="L45" s="131"/>
      <c r="M45" s="30"/>
      <c r="N45" s="16"/>
    </row>
    <row r="46" spans="1:14" s="34" customFormat="1" x14ac:dyDescent="0.3">
      <c r="A46" s="178" t="s">
        <v>54</v>
      </c>
      <c r="B46" s="179"/>
      <c r="C46" s="179"/>
      <c r="D46" s="96">
        <f>SUM(Tree_74[Amount])</f>
        <v>0</v>
      </c>
      <c r="F46" s="173" t="s">
        <v>33</v>
      </c>
      <c r="G46" s="174"/>
      <c r="H46" s="174"/>
      <c r="I46" s="43"/>
      <c r="J46" s="43"/>
      <c r="K46" s="43"/>
      <c r="L46" s="43"/>
      <c r="M46" s="36"/>
      <c r="N46" s="37"/>
    </row>
    <row r="47" spans="1:14" s="40" customFormat="1" ht="11.1" customHeight="1" x14ac:dyDescent="0.3">
      <c r="A47" s="38"/>
      <c r="B47" s="38"/>
      <c r="C47" s="38"/>
      <c r="D47" s="39"/>
      <c r="F47" s="173"/>
      <c r="G47" s="174"/>
      <c r="H47" s="174"/>
      <c r="I47" s="43"/>
      <c r="J47" s="43"/>
      <c r="K47" s="43"/>
      <c r="L47" s="43"/>
      <c r="M47" s="36"/>
      <c r="N47" s="37"/>
    </row>
    <row r="48" spans="1:14" s="17" customFormat="1" ht="23.1" customHeight="1" x14ac:dyDescent="0.3">
      <c r="A48" s="191" t="s">
        <v>68</v>
      </c>
      <c r="B48" s="192"/>
      <c r="C48" s="192"/>
      <c r="D48" s="193"/>
      <c r="F48" s="183" t="s">
        <v>55</v>
      </c>
      <c r="G48" s="184"/>
      <c r="H48" s="185"/>
      <c r="I48" s="44"/>
      <c r="J48" s="44"/>
      <c r="K48" s="44"/>
      <c r="L48" s="44"/>
      <c r="M48" s="19"/>
      <c r="N48" s="20"/>
    </row>
    <row r="49" spans="1:14" s="41" customFormat="1" ht="12.75" customHeight="1" x14ac:dyDescent="0.25">
      <c r="A49" s="21" t="s">
        <v>21</v>
      </c>
      <c r="B49" s="22" t="s">
        <v>22</v>
      </c>
      <c r="C49" s="22" t="s">
        <v>23</v>
      </c>
      <c r="D49" s="23" t="s">
        <v>25</v>
      </c>
      <c r="F49" s="186"/>
      <c r="G49" s="187"/>
      <c r="H49" s="188"/>
      <c r="I49" s="131"/>
      <c r="J49" s="131"/>
      <c r="K49" s="131"/>
      <c r="L49" s="131"/>
      <c r="M49" s="30"/>
      <c r="N49" s="42"/>
    </row>
    <row r="50" spans="1:14" x14ac:dyDescent="0.3">
      <c r="A50" s="100"/>
      <c r="B50" s="101"/>
      <c r="C50" s="101"/>
      <c r="D50" s="112"/>
      <c r="F50" s="103"/>
      <c r="G50" s="104"/>
      <c r="H50" s="109"/>
      <c r="I50" s="131"/>
      <c r="J50" s="131"/>
      <c r="K50" s="131"/>
      <c r="L50" s="131"/>
      <c r="M50" s="30"/>
      <c r="N50" s="16"/>
    </row>
    <row r="51" spans="1:14" x14ac:dyDescent="0.3">
      <c r="A51" s="106"/>
      <c r="B51" s="107"/>
      <c r="C51" s="107"/>
      <c r="D51" s="113"/>
      <c r="F51" s="103"/>
      <c r="G51" s="104"/>
      <c r="H51" s="109"/>
      <c r="I51" s="131"/>
      <c r="J51" s="131"/>
      <c r="K51" s="131"/>
      <c r="L51" s="131"/>
      <c r="M51" s="30"/>
      <c r="N51" s="16"/>
    </row>
    <row r="52" spans="1:14" x14ac:dyDescent="0.3">
      <c r="A52" s="106"/>
      <c r="B52" s="107"/>
      <c r="C52" s="107"/>
      <c r="D52" s="114"/>
      <c r="F52" s="103"/>
      <c r="H52" s="109"/>
      <c r="I52" s="131"/>
      <c r="J52" s="131"/>
      <c r="K52" s="131"/>
      <c r="L52" s="131"/>
      <c r="M52" s="30"/>
      <c r="N52" s="16"/>
    </row>
    <row r="53" spans="1:14" x14ac:dyDescent="0.3">
      <c r="A53" s="106"/>
      <c r="B53" s="107"/>
      <c r="C53" s="107"/>
      <c r="D53" s="113"/>
      <c r="F53" s="103"/>
      <c r="G53" s="104"/>
      <c r="H53" s="109"/>
      <c r="I53" s="131"/>
      <c r="J53" s="131"/>
      <c r="K53" s="131"/>
      <c r="L53" s="131"/>
      <c r="M53" s="30"/>
      <c r="N53" s="16"/>
    </row>
    <row r="54" spans="1:14" x14ac:dyDescent="0.3">
      <c r="A54" s="106"/>
      <c r="B54" s="107"/>
      <c r="C54" s="107"/>
      <c r="D54" s="114"/>
      <c r="F54" s="103"/>
      <c r="G54" s="104"/>
      <c r="H54" s="109"/>
      <c r="I54" s="131"/>
      <c r="J54" s="131"/>
      <c r="K54" s="131"/>
      <c r="L54" s="131"/>
      <c r="M54" s="30"/>
      <c r="N54" s="16"/>
    </row>
    <row r="55" spans="1:14" x14ac:dyDescent="0.3">
      <c r="A55" s="106"/>
      <c r="B55" s="107"/>
      <c r="C55" s="107"/>
      <c r="D55" s="113"/>
      <c r="F55" s="103"/>
      <c r="G55" s="104"/>
      <c r="H55" s="109"/>
      <c r="I55" s="131"/>
      <c r="J55" s="131"/>
      <c r="K55" s="131"/>
      <c r="L55" s="131"/>
      <c r="M55" s="30"/>
      <c r="N55" s="16"/>
    </row>
    <row r="56" spans="1:14" x14ac:dyDescent="0.3">
      <c r="A56" s="106"/>
      <c r="B56" s="107"/>
      <c r="C56" s="107"/>
      <c r="D56" s="114"/>
      <c r="F56" s="103"/>
      <c r="G56" s="104"/>
      <c r="H56" s="109"/>
      <c r="I56" s="131"/>
      <c r="J56" s="131"/>
      <c r="K56" s="131"/>
      <c r="L56" s="131"/>
      <c r="M56" s="30"/>
      <c r="N56" s="16"/>
    </row>
    <row r="57" spans="1:14" x14ac:dyDescent="0.3">
      <c r="A57" s="106"/>
      <c r="B57" s="107"/>
      <c r="C57" s="107"/>
      <c r="D57" s="113"/>
      <c r="F57" s="103"/>
      <c r="G57" s="104"/>
      <c r="H57" s="109"/>
      <c r="I57" s="131"/>
      <c r="J57" s="131"/>
      <c r="K57" s="131"/>
      <c r="L57" s="131"/>
      <c r="M57" s="30"/>
      <c r="N57" s="16"/>
    </row>
    <row r="58" spans="1:14" x14ac:dyDescent="0.3">
      <c r="A58" s="106"/>
      <c r="B58" s="107"/>
      <c r="C58" s="107"/>
      <c r="D58" s="114"/>
      <c r="F58" s="103"/>
      <c r="G58" s="104"/>
      <c r="H58" s="109"/>
      <c r="I58" s="131"/>
      <c r="J58" s="131"/>
      <c r="K58" s="131"/>
      <c r="L58" s="131"/>
      <c r="M58" s="30"/>
      <c r="N58" s="16"/>
    </row>
    <row r="59" spans="1:14" x14ac:dyDescent="0.3">
      <c r="A59" s="106"/>
      <c r="B59" s="107"/>
      <c r="C59" s="107"/>
      <c r="D59" s="113"/>
      <c r="F59" s="103"/>
      <c r="G59" s="104"/>
      <c r="H59" s="109"/>
      <c r="I59" s="131"/>
      <c r="J59" s="190"/>
      <c r="K59" s="190"/>
      <c r="L59" s="131"/>
      <c r="M59" s="30"/>
      <c r="N59" s="16"/>
    </row>
    <row r="60" spans="1:14" x14ac:dyDescent="0.3">
      <c r="A60" s="106"/>
      <c r="B60" s="107"/>
      <c r="C60" s="107"/>
      <c r="D60" s="114"/>
      <c r="F60" s="103"/>
      <c r="G60" s="104"/>
      <c r="H60" s="109"/>
      <c r="I60" s="189"/>
      <c r="J60" s="189"/>
      <c r="K60" s="189"/>
      <c r="L60" s="189"/>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78" t="s">
        <v>56</v>
      </c>
      <c r="B65" s="179"/>
      <c r="C65" s="179"/>
      <c r="D65" s="96">
        <f>SUM(Pest_74[Amount])</f>
        <v>0</v>
      </c>
      <c r="F65" s="173" t="s">
        <v>33</v>
      </c>
      <c r="G65" s="174"/>
      <c r="H65" s="174"/>
    </row>
    <row r="66" spans="1:8" x14ac:dyDescent="0.3">
      <c r="F66" s="173"/>
      <c r="G66" s="174"/>
      <c r="H66" s="174"/>
    </row>
    <row r="67" spans="1:8" ht="17.399999999999999" x14ac:dyDescent="0.3">
      <c r="A67" s="198" t="s">
        <v>69</v>
      </c>
      <c r="B67" s="198"/>
      <c r="C67" s="198"/>
      <c r="D67" s="198"/>
      <c r="E67" s="17"/>
      <c r="F67" s="183" t="s">
        <v>57</v>
      </c>
      <c r="G67" s="184"/>
      <c r="H67" s="185"/>
    </row>
    <row r="68" spans="1:8" x14ac:dyDescent="0.3">
      <c r="A68" s="21" t="s">
        <v>21</v>
      </c>
      <c r="B68" s="22" t="s">
        <v>22</v>
      </c>
      <c r="C68" s="22" t="s">
        <v>23</v>
      </c>
      <c r="D68" s="23" t="s">
        <v>25</v>
      </c>
      <c r="E68" s="24"/>
      <c r="F68" s="186"/>
      <c r="G68" s="187"/>
      <c r="H68" s="188"/>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78" t="s">
        <v>58</v>
      </c>
      <c r="B84" s="179"/>
      <c r="C84" s="179"/>
      <c r="D84" s="96">
        <f>SUM(Garbage_74[Amount])</f>
        <v>0</v>
      </c>
      <c r="E84" s="34"/>
      <c r="F84" s="173" t="s">
        <v>33</v>
      </c>
      <c r="G84" s="174"/>
      <c r="H84" s="174"/>
    </row>
    <row r="85" spans="1:8" x14ac:dyDescent="0.3">
      <c r="A85" s="38"/>
      <c r="B85" s="38"/>
      <c r="C85" s="38"/>
      <c r="D85" s="39"/>
      <c r="E85" s="40"/>
      <c r="F85" s="173"/>
      <c r="G85" s="174"/>
      <c r="H85" s="174"/>
    </row>
    <row r="86" spans="1:8" ht="17.399999999999999" x14ac:dyDescent="0.3">
      <c r="A86" s="191" t="s">
        <v>59</v>
      </c>
      <c r="B86" s="192"/>
      <c r="C86" s="192"/>
      <c r="D86" s="193"/>
      <c r="E86" s="17"/>
      <c r="F86" s="183" t="s">
        <v>60</v>
      </c>
      <c r="G86" s="184"/>
      <c r="H86" s="185"/>
    </row>
    <row r="87" spans="1:8" x14ac:dyDescent="0.3">
      <c r="A87" s="21" t="s">
        <v>21</v>
      </c>
      <c r="B87" s="22" t="s">
        <v>22</v>
      </c>
      <c r="C87" s="22" t="s">
        <v>23</v>
      </c>
      <c r="D87" s="23" t="s">
        <v>25</v>
      </c>
      <c r="E87" s="41"/>
      <c r="F87" s="186"/>
      <c r="G87" s="187"/>
      <c r="H87" s="188"/>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78" t="s">
        <v>61</v>
      </c>
      <c r="B103" s="179"/>
      <c r="C103" s="179"/>
      <c r="D103" s="96">
        <f>SUM(Boarding_74[Amount])</f>
        <v>0</v>
      </c>
      <c r="E103" s="34"/>
      <c r="F103" s="173" t="s">
        <v>33</v>
      </c>
      <c r="G103" s="174"/>
      <c r="H103" s="174"/>
    </row>
    <row r="104" spans="1:8" x14ac:dyDescent="0.3">
      <c r="A104" s="38"/>
      <c r="B104" s="38"/>
      <c r="C104" s="38"/>
      <c r="D104" s="39"/>
      <c r="E104" s="40"/>
      <c r="F104" s="173"/>
      <c r="G104" s="174"/>
      <c r="H104" s="174"/>
    </row>
    <row r="105" spans="1:8" ht="17.399999999999999" x14ac:dyDescent="0.3">
      <c r="A105" s="191" t="s">
        <v>70</v>
      </c>
      <c r="B105" s="192"/>
      <c r="C105" s="192"/>
      <c r="D105" s="193"/>
      <c r="E105" s="17"/>
      <c r="F105" s="183" t="s">
        <v>62</v>
      </c>
      <c r="G105" s="184"/>
      <c r="H105" s="185"/>
    </row>
    <row r="106" spans="1:8" x14ac:dyDescent="0.3">
      <c r="A106" s="21" t="s">
        <v>21</v>
      </c>
      <c r="B106" s="22" t="s">
        <v>22</v>
      </c>
      <c r="C106" s="22" t="s">
        <v>23</v>
      </c>
      <c r="D106" s="23" t="s">
        <v>25</v>
      </c>
      <c r="E106" s="41"/>
      <c r="F106" s="186"/>
      <c r="G106" s="187"/>
      <c r="H106" s="188"/>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78" t="s">
        <v>63</v>
      </c>
      <c r="B122" s="179"/>
      <c r="C122" s="179"/>
      <c r="D122" s="96">
        <f>SUM(Fence_74[Amount])</f>
        <v>0</v>
      </c>
      <c r="E122" s="34"/>
      <c r="F122" s="173" t="s">
        <v>33</v>
      </c>
      <c r="G122" s="174"/>
      <c r="H122" s="174"/>
    </row>
    <row r="123" spans="1:8" x14ac:dyDescent="0.3">
      <c r="F123" s="173"/>
      <c r="G123" s="174"/>
      <c r="H123" s="174"/>
    </row>
    <row r="124" spans="1:8" ht="17.399999999999999" x14ac:dyDescent="0.3">
      <c r="A124" s="191" t="s">
        <v>26</v>
      </c>
      <c r="B124" s="192"/>
      <c r="C124" s="192"/>
      <c r="D124" s="193"/>
      <c r="E124" s="17"/>
      <c r="F124" s="183" t="s">
        <v>11</v>
      </c>
      <c r="G124" s="184"/>
      <c r="H124" s="185"/>
    </row>
    <row r="125" spans="1:8" x14ac:dyDescent="0.3">
      <c r="A125" s="21" t="s">
        <v>21</v>
      </c>
      <c r="B125" s="22" t="s">
        <v>22</v>
      </c>
      <c r="C125" s="22" t="s">
        <v>23</v>
      </c>
      <c r="D125" s="23" t="s">
        <v>25</v>
      </c>
      <c r="E125" s="41"/>
      <c r="F125" s="186"/>
      <c r="G125" s="187"/>
      <c r="H125" s="188"/>
    </row>
    <row r="126" spans="1:8" x14ac:dyDescent="0.3">
      <c r="A126" s="100"/>
      <c r="B126" s="101"/>
      <c r="C126" s="101"/>
      <c r="D126" s="112">
        <v>16510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78" t="s">
        <v>27</v>
      </c>
      <c r="B141" s="179"/>
      <c r="C141" s="179"/>
      <c r="D141" s="96">
        <f>SUM(Demolition_74[Amount])</f>
        <v>16510</v>
      </c>
      <c r="E141" s="34"/>
      <c r="F141" s="173" t="s">
        <v>33</v>
      </c>
      <c r="G141" s="174"/>
      <c r="H141" s="174"/>
    </row>
    <row r="142" spans="1:8" x14ac:dyDescent="0.3">
      <c r="A142" s="38"/>
      <c r="B142" s="38"/>
      <c r="C142" s="38"/>
      <c r="D142" s="39"/>
      <c r="E142" s="40"/>
      <c r="F142" s="173"/>
      <c r="G142" s="174"/>
      <c r="H142" s="174"/>
    </row>
    <row r="143" spans="1:8" ht="17.399999999999999" x14ac:dyDescent="0.3">
      <c r="A143" s="191" t="s">
        <v>64</v>
      </c>
      <c r="B143" s="192"/>
      <c r="C143" s="192"/>
      <c r="D143" s="193"/>
      <c r="E143" s="17"/>
      <c r="F143" s="183" t="s">
        <v>44</v>
      </c>
      <c r="G143" s="184"/>
      <c r="H143" s="185"/>
    </row>
    <row r="144" spans="1:8" x14ac:dyDescent="0.3">
      <c r="A144" s="21" t="s">
        <v>21</v>
      </c>
      <c r="B144" s="22" t="s">
        <v>22</v>
      </c>
      <c r="C144" s="22" t="s">
        <v>23</v>
      </c>
      <c r="D144" s="23" t="s">
        <v>25</v>
      </c>
      <c r="E144" s="41"/>
      <c r="F144" s="186"/>
      <c r="G144" s="187"/>
      <c r="H144" s="188"/>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78" t="s">
        <v>65</v>
      </c>
      <c r="B160" s="179"/>
      <c r="C160" s="179"/>
      <c r="D160" s="96">
        <f>SUM(Rehab_74[Amount])</f>
        <v>0</v>
      </c>
      <c r="E160" s="34"/>
      <c r="F160" s="173" t="s">
        <v>33</v>
      </c>
      <c r="G160" s="174"/>
      <c r="H160" s="174"/>
    </row>
    <row r="161" spans="6:8" x14ac:dyDescent="0.3">
      <c r="F161" s="173"/>
      <c r="G161" s="174"/>
      <c r="H161" s="174"/>
    </row>
  </sheetData>
  <sheetProtection algorithmName="SHA-512" hashValue="JLUJWCzWvloFR8O1casAVfDvOjL/KSDwgYJ9EBwUPqHtonMm2GWGcVdJfFI77Qc3Bf7qQBR/QncoxpT1HBoWRA==" saltValue="MBKgeQEiqSIHjPxbrJGS2w=="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61"/>
  <sheetViews>
    <sheetView showGridLines="0" zoomScaleNormal="100" workbookViewId="0">
      <pane ySplit="9" topLeftCell="A115"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5" t="s">
        <v>24</v>
      </c>
      <c r="B1" s="175"/>
      <c r="C1" s="175"/>
      <c r="D1" s="175"/>
      <c r="E1" s="1"/>
      <c r="F1" s="2"/>
      <c r="G1" s="2"/>
      <c r="H1" s="1"/>
    </row>
    <row r="2" spans="1:14" ht="24.9" customHeight="1" x14ac:dyDescent="0.3">
      <c r="A2" s="176" t="s">
        <v>71</v>
      </c>
      <c r="B2" s="176"/>
      <c r="C2" s="176"/>
      <c r="D2" s="176"/>
      <c r="E2" s="4"/>
      <c r="F2" s="130"/>
      <c r="G2" s="130"/>
      <c r="H2" s="5"/>
    </row>
    <row r="3" spans="1:14" ht="31.5" customHeight="1" x14ac:dyDescent="0.3">
      <c r="A3" s="176"/>
      <c r="B3" s="176"/>
      <c r="C3" s="176"/>
      <c r="D3" s="176"/>
      <c r="E3" s="4"/>
      <c r="F3" s="130"/>
      <c r="G3" s="130"/>
      <c r="H3" s="5"/>
    </row>
    <row r="4" spans="1:14" ht="15" customHeight="1" x14ac:dyDescent="0.25">
      <c r="A4" s="75" t="s">
        <v>19</v>
      </c>
      <c r="B4" s="194" t="str">
        <f>IF('Summary Sheet'!B107="","",'Summary Sheet'!B107)</f>
        <v>2939 W WILCOX ST</v>
      </c>
      <c r="C4" s="194"/>
      <c r="D4" s="130"/>
      <c r="E4" s="4"/>
      <c r="F4" s="130"/>
      <c r="G4" s="130"/>
      <c r="H4" s="5"/>
    </row>
    <row r="5" spans="1:14" ht="15" customHeight="1" x14ac:dyDescent="0.25">
      <c r="A5" s="75" t="s">
        <v>20</v>
      </c>
      <c r="B5" s="195" t="str">
        <f>IF('Summary Sheet'!C107="","",'Summary Sheet'!C107)</f>
        <v/>
      </c>
      <c r="C5" s="195"/>
      <c r="D5" s="130"/>
      <c r="E5" s="4"/>
      <c r="F5" s="130"/>
      <c r="G5" s="130"/>
      <c r="H5" s="5"/>
    </row>
    <row r="6" spans="1:14" ht="15" customHeight="1" x14ac:dyDescent="0.25">
      <c r="A6" s="75" t="s">
        <v>36</v>
      </c>
      <c r="B6" s="177"/>
      <c r="C6" s="177"/>
      <c r="D6" s="6"/>
      <c r="E6" s="7"/>
    </row>
    <row r="7" spans="1:14" ht="15" customHeight="1" x14ac:dyDescent="0.25">
      <c r="A7" s="7"/>
      <c r="B7" s="196" t="s">
        <v>34</v>
      </c>
      <c r="C7" s="196"/>
      <c r="D7" s="10"/>
    </row>
    <row r="8" spans="1:14" ht="20.100000000000001" customHeight="1" x14ac:dyDescent="0.25">
      <c r="B8" s="11"/>
      <c r="C8" s="11"/>
      <c r="D8" s="12" t="s">
        <v>31</v>
      </c>
      <c r="F8" s="180" t="s">
        <v>32</v>
      </c>
      <c r="G8" s="181"/>
      <c r="H8" s="182"/>
    </row>
    <row r="9" spans="1:14" s="14" customFormat="1" ht="20.100000000000001" customHeight="1" x14ac:dyDescent="0.25">
      <c r="A9" s="197"/>
      <c r="B9" s="197"/>
      <c r="C9" s="197"/>
      <c r="D9" s="13">
        <f>SUM(D27,D46,D65,D84,D103,D122,D141,D160)</f>
        <v>23510</v>
      </c>
      <c r="F9" s="15" t="s">
        <v>28</v>
      </c>
      <c r="G9" s="15" t="s">
        <v>29</v>
      </c>
      <c r="H9" s="15" t="s">
        <v>30</v>
      </c>
      <c r="I9" s="16"/>
      <c r="J9" s="16"/>
      <c r="K9" s="16"/>
      <c r="L9" s="16"/>
      <c r="M9" s="16"/>
      <c r="N9" s="16"/>
    </row>
    <row r="10" spans="1:14" s="17" customFormat="1" ht="23.1" customHeight="1" x14ac:dyDescent="0.3">
      <c r="A10" s="198" t="s">
        <v>51</v>
      </c>
      <c r="B10" s="198"/>
      <c r="C10" s="198"/>
      <c r="D10" s="198"/>
      <c r="F10" s="183" t="s">
        <v>66</v>
      </c>
      <c r="G10" s="184"/>
      <c r="H10" s="185"/>
      <c r="I10" s="18"/>
      <c r="J10" s="18"/>
      <c r="K10" s="18"/>
      <c r="L10" s="18"/>
      <c r="M10" s="19"/>
      <c r="N10" s="20"/>
    </row>
    <row r="11" spans="1:14" s="24" customFormat="1" ht="12.75" customHeight="1" x14ac:dyDescent="0.25">
      <c r="A11" s="21" t="s">
        <v>21</v>
      </c>
      <c r="B11" s="22" t="s">
        <v>22</v>
      </c>
      <c r="C11" s="22" t="s">
        <v>23</v>
      </c>
      <c r="D11" s="23" t="s">
        <v>25</v>
      </c>
      <c r="F11" s="186"/>
      <c r="G11" s="187"/>
      <c r="H11" s="188"/>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78" t="s">
        <v>53</v>
      </c>
      <c r="B27" s="179"/>
      <c r="C27" s="179"/>
      <c r="D27" s="96">
        <f>SUM(Grass_75[Amount])</f>
        <v>0</v>
      </c>
      <c r="F27" s="173" t="s">
        <v>33</v>
      </c>
      <c r="G27" s="174"/>
      <c r="H27" s="174"/>
      <c r="I27" s="35"/>
      <c r="J27" s="35"/>
      <c r="K27" s="35"/>
      <c r="L27" s="35"/>
      <c r="M27" s="36"/>
      <c r="N27" s="37"/>
    </row>
    <row r="28" spans="1:14" s="40" customFormat="1" ht="11.1" customHeight="1" x14ac:dyDescent="0.3">
      <c r="A28" s="38"/>
      <c r="B28" s="38"/>
      <c r="C28" s="38"/>
      <c r="D28" s="39"/>
      <c r="F28" s="173"/>
      <c r="G28" s="174"/>
      <c r="H28" s="174"/>
      <c r="I28" s="35"/>
      <c r="J28" s="35"/>
      <c r="K28" s="35"/>
      <c r="L28" s="35"/>
      <c r="M28" s="36"/>
      <c r="N28" s="37"/>
    </row>
    <row r="29" spans="1:14" s="17" customFormat="1" ht="23.1" customHeight="1" x14ac:dyDescent="0.3">
      <c r="A29" s="191" t="s">
        <v>67</v>
      </c>
      <c r="B29" s="192"/>
      <c r="C29" s="192"/>
      <c r="D29" s="193"/>
      <c r="F29" s="183" t="s">
        <v>52</v>
      </c>
      <c r="G29" s="184"/>
      <c r="H29" s="185"/>
      <c r="I29" s="18"/>
      <c r="J29" s="18"/>
      <c r="K29" s="18"/>
      <c r="L29" s="18"/>
      <c r="M29" s="19"/>
      <c r="N29" s="20"/>
    </row>
    <row r="30" spans="1:14" s="41" customFormat="1" ht="12.75" customHeight="1" x14ac:dyDescent="0.25">
      <c r="A30" s="21" t="s">
        <v>21</v>
      </c>
      <c r="B30" s="22" t="s">
        <v>22</v>
      </c>
      <c r="C30" s="22" t="s">
        <v>23</v>
      </c>
      <c r="D30" s="23" t="s">
        <v>25</v>
      </c>
      <c r="F30" s="186"/>
      <c r="G30" s="187"/>
      <c r="H30" s="188"/>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31"/>
      <c r="J44" s="29"/>
      <c r="K44" s="29"/>
      <c r="L44" s="131"/>
      <c r="M44" s="30"/>
      <c r="N44" s="16"/>
    </row>
    <row r="45" spans="1:14" x14ac:dyDescent="0.3">
      <c r="A45" s="106"/>
      <c r="B45" s="107"/>
      <c r="C45" s="107"/>
      <c r="D45" s="114"/>
      <c r="F45" s="103"/>
      <c r="G45" s="104"/>
      <c r="H45" s="109"/>
      <c r="I45" s="131"/>
      <c r="J45" s="29"/>
      <c r="K45" s="29"/>
      <c r="L45" s="131"/>
      <c r="M45" s="30"/>
      <c r="N45" s="16"/>
    </row>
    <row r="46" spans="1:14" s="34" customFormat="1" x14ac:dyDescent="0.3">
      <c r="A46" s="178" t="s">
        <v>54</v>
      </c>
      <c r="B46" s="179"/>
      <c r="C46" s="179"/>
      <c r="D46" s="96">
        <f>SUM(Tree_75[Amount])</f>
        <v>0</v>
      </c>
      <c r="F46" s="173" t="s">
        <v>33</v>
      </c>
      <c r="G46" s="174"/>
      <c r="H46" s="174"/>
      <c r="I46" s="43"/>
      <c r="J46" s="43"/>
      <c r="K46" s="43"/>
      <c r="L46" s="43"/>
      <c r="M46" s="36"/>
      <c r="N46" s="37"/>
    </row>
    <row r="47" spans="1:14" s="40" customFormat="1" ht="11.1" customHeight="1" x14ac:dyDescent="0.3">
      <c r="A47" s="38"/>
      <c r="B47" s="38"/>
      <c r="C47" s="38"/>
      <c r="D47" s="39"/>
      <c r="F47" s="173"/>
      <c r="G47" s="174"/>
      <c r="H47" s="174"/>
      <c r="I47" s="43"/>
      <c r="J47" s="43"/>
      <c r="K47" s="43"/>
      <c r="L47" s="43"/>
      <c r="M47" s="36"/>
      <c r="N47" s="37"/>
    </row>
    <row r="48" spans="1:14" s="17" customFormat="1" ht="23.1" customHeight="1" x14ac:dyDescent="0.3">
      <c r="A48" s="191" t="s">
        <v>68</v>
      </c>
      <c r="B48" s="192"/>
      <c r="C48" s="192"/>
      <c r="D48" s="193"/>
      <c r="F48" s="183" t="s">
        <v>55</v>
      </c>
      <c r="G48" s="184"/>
      <c r="H48" s="185"/>
      <c r="I48" s="44"/>
      <c r="J48" s="44"/>
      <c r="K48" s="44"/>
      <c r="L48" s="44"/>
      <c r="M48" s="19"/>
      <c r="N48" s="20"/>
    </row>
    <row r="49" spans="1:14" s="41" customFormat="1" ht="12.75" customHeight="1" x14ac:dyDescent="0.25">
      <c r="A49" s="21" t="s">
        <v>21</v>
      </c>
      <c r="B49" s="22" t="s">
        <v>22</v>
      </c>
      <c r="C49" s="22" t="s">
        <v>23</v>
      </c>
      <c r="D49" s="23" t="s">
        <v>25</v>
      </c>
      <c r="F49" s="186"/>
      <c r="G49" s="187"/>
      <c r="H49" s="188"/>
      <c r="I49" s="131"/>
      <c r="J49" s="131"/>
      <c r="K49" s="131"/>
      <c r="L49" s="131"/>
      <c r="M49" s="30"/>
      <c r="N49" s="42"/>
    </row>
    <row r="50" spans="1:14" x14ac:dyDescent="0.3">
      <c r="A50" s="100"/>
      <c r="B50" s="101"/>
      <c r="C50" s="101"/>
      <c r="D50" s="112"/>
      <c r="F50" s="103"/>
      <c r="G50" s="104"/>
      <c r="H50" s="109"/>
      <c r="I50" s="131"/>
      <c r="J50" s="131"/>
      <c r="K50" s="131"/>
      <c r="L50" s="131"/>
      <c r="M50" s="30"/>
      <c r="N50" s="16"/>
    </row>
    <row r="51" spans="1:14" x14ac:dyDescent="0.3">
      <c r="A51" s="106"/>
      <c r="B51" s="107"/>
      <c r="C51" s="107"/>
      <c r="D51" s="113"/>
      <c r="F51" s="103"/>
      <c r="G51" s="104"/>
      <c r="H51" s="109"/>
      <c r="I51" s="131"/>
      <c r="J51" s="131"/>
      <c r="K51" s="131"/>
      <c r="L51" s="131"/>
      <c r="M51" s="30"/>
      <c r="N51" s="16"/>
    </row>
    <row r="52" spans="1:14" x14ac:dyDescent="0.3">
      <c r="A52" s="106"/>
      <c r="B52" s="107"/>
      <c r="C52" s="107"/>
      <c r="D52" s="114"/>
      <c r="F52" s="103"/>
      <c r="H52" s="109"/>
      <c r="I52" s="131"/>
      <c r="J52" s="131"/>
      <c r="K52" s="131"/>
      <c r="L52" s="131"/>
      <c r="M52" s="30"/>
      <c r="N52" s="16"/>
    </row>
    <row r="53" spans="1:14" x14ac:dyDescent="0.3">
      <c r="A53" s="106"/>
      <c r="B53" s="107"/>
      <c r="C53" s="107"/>
      <c r="D53" s="113"/>
      <c r="F53" s="103"/>
      <c r="G53" s="104"/>
      <c r="H53" s="109"/>
      <c r="I53" s="131"/>
      <c r="J53" s="131"/>
      <c r="K53" s="131"/>
      <c r="L53" s="131"/>
      <c r="M53" s="30"/>
      <c r="N53" s="16"/>
    </row>
    <row r="54" spans="1:14" x14ac:dyDescent="0.3">
      <c r="A54" s="106"/>
      <c r="B54" s="107"/>
      <c r="C54" s="107"/>
      <c r="D54" s="114"/>
      <c r="F54" s="103"/>
      <c r="G54" s="104"/>
      <c r="H54" s="109"/>
      <c r="I54" s="131"/>
      <c r="J54" s="131"/>
      <c r="K54" s="131"/>
      <c r="L54" s="131"/>
      <c r="M54" s="30"/>
      <c r="N54" s="16"/>
    </row>
    <row r="55" spans="1:14" x14ac:dyDescent="0.3">
      <c r="A55" s="106"/>
      <c r="B55" s="107"/>
      <c r="C55" s="107"/>
      <c r="D55" s="113"/>
      <c r="F55" s="103"/>
      <c r="G55" s="104"/>
      <c r="H55" s="109"/>
      <c r="I55" s="131"/>
      <c r="J55" s="131"/>
      <c r="K55" s="131"/>
      <c r="L55" s="131"/>
      <c r="M55" s="30"/>
      <c r="N55" s="16"/>
    </row>
    <row r="56" spans="1:14" x14ac:dyDescent="0.3">
      <c r="A56" s="106"/>
      <c r="B56" s="107"/>
      <c r="C56" s="107"/>
      <c r="D56" s="114"/>
      <c r="F56" s="103"/>
      <c r="G56" s="104"/>
      <c r="H56" s="109"/>
      <c r="I56" s="131"/>
      <c r="J56" s="131"/>
      <c r="K56" s="131"/>
      <c r="L56" s="131"/>
      <c r="M56" s="30"/>
      <c r="N56" s="16"/>
    </row>
    <row r="57" spans="1:14" x14ac:dyDescent="0.3">
      <c r="A57" s="106"/>
      <c r="B57" s="107"/>
      <c r="C57" s="107"/>
      <c r="D57" s="113"/>
      <c r="F57" s="103"/>
      <c r="G57" s="104"/>
      <c r="H57" s="109"/>
      <c r="I57" s="131"/>
      <c r="J57" s="131"/>
      <c r="K57" s="131"/>
      <c r="L57" s="131"/>
      <c r="M57" s="30"/>
      <c r="N57" s="16"/>
    </row>
    <row r="58" spans="1:14" x14ac:dyDescent="0.3">
      <c r="A58" s="106"/>
      <c r="B58" s="107"/>
      <c r="C58" s="107"/>
      <c r="D58" s="114"/>
      <c r="F58" s="103"/>
      <c r="G58" s="104"/>
      <c r="H58" s="109"/>
      <c r="I58" s="131"/>
      <c r="J58" s="131"/>
      <c r="K58" s="131"/>
      <c r="L58" s="131"/>
      <c r="M58" s="30"/>
      <c r="N58" s="16"/>
    </row>
    <row r="59" spans="1:14" x14ac:dyDescent="0.3">
      <c r="A59" s="106"/>
      <c r="B59" s="107"/>
      <c r="C59" s="107"/>
      <c r="D59" s="113"/>
      <c r="F59" s="103"/>
      <c r="G59" s="104"/>
      <c r="H59" s="109"/>
      <c r="I59" s="131"/>
      <c r="J59" s="190"/>
      <c r="K59" s="190"/>
      <c r="L59" s="131"/>
      <c r="M59" s="30"/>
      <c r="N59" s="16"/>
    </row>
    <row r="60" spans="1:14" x14ac:dyDescent="0.3">
      <c r="A60" s="106"/>
      <c r="B60" s="107"/>
      <c r="C60" s="107"/>
      <c r="D60" s="114"/>
      <c r="F60" s="103"/>
      <c r="G60" s="104"/>
      <c r="H60" s="109"/>
      <c r="I60" s="189"/>
      <c r="J60" s="189"/>
      <c r="K60" s="189"/>
      <c r="L60" s="189"/>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78" t="s">
        <v>56</v>
      </c>
      <c r="B65" s="179"/>
      <c r="C65" s="179"/>
      <c r="D65" s="96">
        <f>SUM(Pest_75[Amount])</f>
        <v>0</v>
      </c>
      <c r="F65" s="173" t="s">
        <v>33</v>
      </c>
      <c r="G65" s="174"/>
      <c r="H65" s="174"/>
    </row>
    <row r="66" spans="1:8" x14ac:dyDescent="0.3">
      <c r="F66" s="173"/>
      <c r="G66" s="174"/>
      <c r="H66" s="174"/>
    </row>
    <row r="67" spans="1:8" ht="17.399999999999999" x14ac:dyDescent="0.3">
      <c r="A67" s="198" t="s">
        <v>69</v>
      </c>
      <c r="B67" s="198"/>
      <c r="C67" s="198"/>
      <c r="D67" s="198"/>
      <c r="E67" s="17"/>
      <c r="F67" s="183" t="s">
        <v>57</v>
      </c>
      <c r="G67" s="184"/>
      <c r="H67" s="185"/>
    </row>
    <row r="68" spans="1:8" x14ac:dyDescent="0.3">
      <c r="A68" s="21" t="s">
        <v>21</v>
      </c>
      <c r="B68" s="22" t="s">
        <v>22</v>
      </c>
      <c r="C68" s="22" t="s">
        <v>23</v>
      </c>
      <c r="D68" s="23" t="s">
        <v>25</v>
      </c>
      <c r="E68" s="24"/>
      <c r="F68" s="186"/>
      <c r="G68" s="187"/>
      <c r="H68" s="188"/>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78" t="s">
        <v>58</v>
      </c>
      <c r="B84" s="179"/>
      <c r="C84" s="179"/>
      <c r="D84" s="96">
        <f>SUM(Garbage_75[Amount])</f>
        <v>0</v>
      </c>
      <c r="E84" s="34"/>
      <c r="F84" s="173" t="s">
        <v>33</v>
      </c>
      <c r="G84" s="174"/>
      <c r="H84" s="174"/>
    </row>
    <row r="85" spans="1:8" x14ac:dyDescent="0.3">
      <c r="A85" s="38"/>
      <c r="B85" s="38"/>
      <c r="C85" s="38"/>
      <c r="D85" s="39"/>
      <c r="E85" s="40"/>
      <c r="F85" s="173"/>
      <c r="G85" s="174"/>
      <c r="H85" s="174"/>
    </row>
    <row r="86" spans="1:8" ht="17.399999999999999" x14ac:dyDescent="0.3">
      <c r="A86" s="191" t="s">
        <v>59</v>
      </c>
      <c r="B86" s="192"/>
      <c r="C86" s="192"/>
      <c r="D86" s="193"/>
      <c r="E86" s="17"/>
      <c r="F86" s="183" t="s">
        <v>60</v>
      </c>
      <c r="G86" s="184"/>
      <c r="H86" s="185"/>
    </row>
    <row r="87" spans="1:8" x14ac:dyDescent="0.3">
      <c r="A87" s="21" t="s">
        <v>21</v>
      </c>
      <c r="B87" s="22" t="s">
        <v>22</v>
      </c>
      <c r="C87" s="22" t="s">
        <v>23</v>
      </c>
      <c r="D87" s="23" t="s">
        <v>25</v>
      </c>
      <c r="E87" s="41"/>
      <c r="F87" s="186"/>
      <c r="G87" s="187"/>
      <c r="H87" s="188"/>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78" t="s">
        <v>61</v>
      </c>
      <c r="B103" s="179"/>
      <c r="C103" s="179"/>
      <c r="D103" s="96">
        <f>SUM(Boarding_75[Amount])</f>
        <v>0</v>
      </c>
      <c r="E103" s="34"/>
      <c r="F103" s="173" t="s">
        <v>33</v>
      </c>
      <c r="G103" s="174"/>
      <c r="H103" s="174"/>
    </row>
    <row r="104" spans="1:8" x14ac:dyDescent="0.3">
      <c r="A104" s="38"/>
      <c r="B104" s="38"/>
      <c r="C104" s="38"/>
      <c r="D104" s="39"/>
      <c r="E104" s="40"/>
      <c r="F104" s="173"/>
      <c r="G104" s="174"/>
      <c r="H104" s="174"/>
    </row>
    <row r="105" spans="1:8" ht="17.399999999999999" x14ac:dyDescent="0.3">
      <c r="A105" s="191" t="s">
        <v>70</v>
      </c>
      <c r="B105" s="192"/>
      <c r="C105" s="192"/>
      <c r="D105" s="193"/>
      <c r="E105" s="17"/>
      <c r="F105" s="183" t="s">
        <v>62</v>
      </c>
      <c r="G105" s="184"/>
      <c r="H105" s="185"/>
    </row>
    <row r="106" spans="1:8" x14ac:dyDescent="0.3">
      <c r="A106" s="21" t="s">
        <v>21</v>
      </c>
      <c r="B106" s="22" t="s">
        <v>22</v>
      </c>
      <c r="C106" s="22" t="s">
        <v>23</v>
      </c>
      <c r="D106" s="23" t="s">
        <v>25</v>
      </c>
      <c r="E106" s="41"/>
      <c r="F106" s="186"/>
      <c r="G106" s="187"/>
      <c r="H106" s="188"/>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78" t="s">
        <v>63</v>
      </c>
      <c r="B122" s="179"/>
      <c r="C122" s="179"/>
      <c r="D122" s="96">
        <f>SUM(Fence_75[Amount])</f>
        <v>0</v>
      </c>
      <c r="E122" s="34"/>
      <c r="F122" s="173" t="s">
        <v>33</v>
      </c>
      <c r="G122" s="174"/>
      <c r="H122" s="174"/>
    </row>
    <row r="123" spans="1:8" x14ac:dyDescent="0.3">
      <c r="F123" s="173"/>
      <c r="G123" s="174"/>
      <c r="H123" s="174"/>
    </row>
    <row r="124" spans="1:8" ht="17.399999999999999" x14ac:dyDescent="0.3">
      <c r="A124" s="191" t="s">
        <v>26</v>
      </c>
      <c r="B124" s="192"/>
      <c r="C124" s="192"/>
      <c r="D124" s="193"/>
      <c r="E124" s="17"/>
      <c r="F124" s="183" t="s">
        <v>11</v>
      </c>
      <c r="G124" s="184"/>
      <c r="H124" s="185"/>
    </row>
    <row r="125" spans="1:8" x14ac:dyDescent="0.3">
      <c r="A125" s="21" t="s">
        <v>21</v>
      </c>
      <c r="B125" s="22" t="s">
        <v>22</v>
      </c>
      <c r="C125" s="22" t="s">
        <v>23</v>
      </c>
      <c r="D125" s="23" t="s">
        <v>25</v>
      </c>
      <c r="E125" s="41"/>
      <c r="F125" s="186"/>
      <c r="G125" s="187"/>
      <c r="H125" s="188"/>
    </row>
    <row r="126" spans="1:8" x14ac:dyDescent="0.3">
      <c r="A126" s="100"/>
      <c r="B126" s="101"/>
      <c r="C126" s="101"/>
      <c r="D126" s="112">
        <v>23510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78" t="s">
        <v>27</v>
      </c>
      <c r="B141" s="179"/>
      <c r="C141" s="179"/>
      <c r="D141" s="96">
        <f>SUM(Demolition_75[Amount])</f>
        <v>23510</v>
      </c>
      <c r="E141" s="34"/>
      <c r="F141" s="173" t="s">
        <v>33</v>
      </c>
      <c r="G141" s="174"/>
      <c r="H141" s="174"/>
    </row>
    <row r="142" spans="1:8" x14ac:dyDescent="0.3">
      <c r="A142" s="38"/>
      <c r="B142" s="38"/>
      <c r="C142" s="38"/>
      <c r="D142" s="39"/>
      <c r="E142" s="40"/>
      <c r="F142" s="173"/>
      <c r="G142" s="174"/>
      <c r="H142" s="174"/>
    </row>
    <row r="143" spans="1:8" ht="17.399999999999999" x14ac:dyDescent="0.3">
      <c r="A143" s="191" t="s">
        <v>64</v>
      </c>
      <c r="B143" s="192"/>
      <c r="C143" s="192"/>
      <c r="D143" s="193"/>
      <c r="E143" s="17"/>
      <c r="F143" s="183" t="s">
        <v>44</v>
      </c>
      <c r="G143" s="184"/>
      <c r="H143" s="185"/>
    </row>
    <row r="144" spans="1:8" x14ac:dyDescent="0.3">
      <c r="A144" s="21" t="s">
        <v>21</v>
      </c>
      <c r="B144" s="22" t="s">
        <v>22</v>
      </c>
      <c r="C144" s="22" t="s">
        <v>23</v>
      </c>
      <c r="D144" s="23" t="s">
        <v>25</v>
      </c>
      <c r="E144" s="41"/>
      <c r="F144" s="186"/>
      <c r="G144" s="187"/>
      <c r="H144" s="188"/>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78" t="s">
        <v>65</v>
      </c>
      <c r="B160" s="179"/>
      <c r="C160" s="179"/>
      <c r="D160" s="96">
        <f>SUM(Rehab_75[Amount])</f>
        <v>0</v>
      </c>
      <c r="E160" s="34"/>
      <c r="F160" s="173" t="s">
        <v>33</v>
      </c>
      <c r="G160" s="174"/>
      <c r="H160" s="174"/>
    </row>
    <row r="161" spans="6:8" x14ac:dyDescent="0.3">
      <c r="F161" s="173"/>
      <c r="G161" s="174"/>
      <c r="H161" s="174"/>
    </row>
  </sheetData>
  <sheetProtection algorithmName="SHA-512" hashValue="9dsoTCGx45QHjPt2474D1YutZ7qP6xXaswX6PYJovvAeqqQh6U+f8zAVSGMmCFlmJ5tt0yMdSABwSPJXpEHNsQ==" saltValue="0BstRpD61oU73NwVqvkzJg=="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61"/>
  <sheetViews>
    <sheetView showGridLines="0" zoomScaleNormal="100" workbookViewId="0">
      <pane ySplit="9" topLeftCell="A112"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5" t="s">
        <v>24</v>
      </c>
      <c r="B1" s="175"/>
      <c r="C1" s="175"/>
      <c r="D1" s="175"/>
      <c r="E1" s="1"/>
      <c r="F1" s="2"/>
      <c r="G1" s="2"/>
      <c r="H1" s="1"/>
    </row>
    <row r="2" spans="1:14" ht="24.9" customHeight="1" x14ac:dyDescent="0.3">
      <c r="A2" s="176" t="s">
        <v>71</v>
      </c>
      <c r="B2" s="176"/>
      <c r="C2" s="176"/>
      <c r="D2" s="176"/>
      <c r="E2" s="4"/>
      <c r="F2" s="130"/>
      <c r="G2" s="130"/>
      <c r="H2" s="5"/>
    </row>
    <row r="3" spans="1:14" ht="31.5" customHeight="1" x14ac:dyDescent="0.3">
      <c r="A3" s="176"/>
      <c r="B3" s="176"/>
      <c r="C3" s="176"/>
      <c r="D3" s="176"/>
      <c r="E3" s="4"/>
      <c r="F3" s="130"/>
      <c r="G3" s="130"/>
      <c r="H3" s="5"/>
    </row>
    <row r="4" spans="1:14" ht="15" customHeight="1" x14ac:dyDescent="0.25">
      <c r="A4" s="75" t="s">
        <v>19</v>
      </c>
      <c r="B4" s="194" t="str">
        <f>IF('Summary Sheet'!B108="","",'Summary Sheet'!B108)</f>
        <v>3025 W FIFTH AVE</v>
      </c>
      <c r="C4" s="194"/>
      <c r="D4" s="130"/>
      <c r="E4" s="4"/>
      <c r="F4" s="130"/>
      <c r="G4" s="130"/>
      <c r="H4" s="5"/>
    </row>
    <row r="5" spans="1:14" ht="15" customHeight="1" x14ac:dyDescent="0.25">
      <c r="A5" s="75" t="s">
        <v>20</v>
      </c>
      <c r="B5" s="195" t="str">
        <f>IF('Summary Sheet'!C108="","",'Summary Sheet'!C108)</f>
        <v/>
      </c>
      <c r="C5" s="195"/>
      <c r="D5" s="130"/>
      <c r="E5" s="4"/>
      <c r="F5" s="130"/>
      <c r="G5" s="130"/>
      <c r="H5" s="5"/>
    </row>
    <row r="6" spans="1:14" ht="15" customHeight="1" x14ac:dyDescent="0.25">
      <c r="A6" s="75" t="s">
        <v>36</v>
      </c>
      <c r="B6" s="177"/>
      <c r="C6" s="177"/>
      <c r="D6" s="6"/>
      <c r="E6" s="7"/>
    </row>
    <row r="7" spans="1:14" ht="15" customHeight="1" x14ac:dyDescent="0.25">
      <c r="A7" s="7"/>
      <c r="B7" s="196" t="s">
        <v>34</v>
      </c>
      <c r="C7" s="196"/>
      <c r="D7" s="10"/>
    </row>
    <row r="8" spans="1:14" ht="20.100000000000001" customHeight="1" x14ac:dyDescent="0.25">
      <c r="B8" s="11"/>
      <c r="C8" s="11"/>
      <c r="D8" s="12" t="s">
        <v>31</v>
      </c>
      <c r="F8" s="180" t="s">
        <v>32</v>
      </c>
      <c r="G8" s="181"/>
      <c r="H8" s="182"/>
    </row>
    <row r="9" spans="1:14" s="14" customFormat="1" ht="20.100000000000001" customHeight="1" x14ac:dyDescent="0.25">
      <c r="A9" s="197"/>
      <c r="B9" s="197"/>
      <c r="C9" s="197"/>
      <c r="D9" s="13">
        <f>SUM(D27,D46,D65,D84,D103,D122,D141,D160)</f>
        <v>50510</v>
      </c>
      <c r="F9" s="15" t="s">
        <v>28</v>
      </c>
      <c r="G9" s="15" t="s">
        <v>29</v>
      </c>
      <c r="H9" s="15" t="s">
        <v>30</v>
      </c>
      <c r="I9" s="16"/>
      <c r="J9" s="16"/>
      <c r="K9" s="16"/>
      <c r="L9" s="16"/>
      <c r="M9" s="16"/>
      <c r="N9" s="16"/>
    </row>
    <row r="10" spans="1:14" s="17" customFormat="1" ht="23.1" customHeight="1" x14ac:dyDescent="0.3">
      <c r="A10" s="198" t="s">
        <v>51</v>
      </c>
      <c r="B10" s="198"/>
      <c r="C10" s="198"/>
      <c r="D10" s="198"/>
      <c r="F10" s="183" t="s">
        <v>66</v>
      </c>
      <c r="G10" s="184"/>
      <c r="H10" s="185"/>
      <c r="I10" s="18"/>
      <c r="J10" s="18"/>
      <c r="K10" s="18"/>
      <c r="L10" s="18"/>
      <c r="M10" s="19"/>
      <c r="N10" s="20"/>
    </row>
    <row r="11" spans="1:14" s="24" customFormat="1" ht="12.75" customHeight="1" x14ac:dyDescent="0.25">
      <c r="A11" s="21" t="s">
        <v>21</v>
      </c>
      <c r="B11" s="22" t="s">
        <v>22</v>
      </c>
      <c r="C11" s="22" t="s">
        <v>23</v>
      </c>
      <c r="D11" s="23" t="s">
        <v>25</v>
      </c>
      <c r="F11" s="186"/>
      <c r="G11" s="187"/>
      <c r="H11" s="188"/>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78" t="s">
        <v>53</v>
      </c>
      <c r="B27" s="179"/>
      <c r="C27" s="179"/>
      <c r="D27" s="96">
        <f>SUM(Grass_76[Amount])</f>
        <v>0</v>
      </c>
      <c r="F27" s="173" t="s">
        <v>33</v>
      </c>
      <c r="G27" s="174"/>
      <c r="H27" s="174"/>
      <c r="I27" s="35"/>
      <c r="J27" s="35"/>
      <c r="K27" s="35"/>
      <c r="L27" s="35"/>
      <c r="M27" s="36"/>
      <c r="N27" s="37"/>
    </row>
    <row r="28" spans="1:14" s="40" customFormat="1" ht="11.1" customHeight="1" x14ac:dyDescent="0.3">
      <c r="A28" s="38"/>
      <c r="B28" s="38"/>
      <c r="C28" s="38"/>
      <c r="D28" s="39"/>
      <c r="F28" s="173"/>
      <c r="G28" s="174"/>
      <c r="H28" s="174"/>
      <c r="I28" s="35"/>
      <c r="J28" s="35"/>
      <c r="K28" s="35"/>
      <c r="L28" s="35"/>
      <c r="M28" s="36"/>
      <c r="N28" s="37"/>
    </row>
    <row r="29" spans="1:14" s="17" customFormat="1" ht="23.1" customHeight="1" x14ac:dyDescent="0.3">
      <c r="A29" s="191" t="s">
        <v>67</v>
      </c>
      <c r="B29" s="192"/>
      <c r="C29" s="192"/>
      <c r="D29" s="193"/>
      <c r="F29" s="183" t="s">
        <v>52</v>
      </c>
      <c r="G29" s="184"/>
      <c r="H29" s="185"/>
      <c r="I29" s="18"/>
      <c r="J29" s="18"/>
      <c r="K29" s="18"/>
      <c r="L29" s="18"/>
      <c r="M29" s="19"/>
      <c r="N29" s="20"/>
    </row>
    <row r="30" spans="1:14" s="41" customFormat="1" ht="12.75" customHeight="1" x14ac:dyDescent="0.25">
      <c r="A30" s="21" t="s">
        <v>21</v>
      </c>
      <c r="B30" s="22" t="s">
        <v>22</v>
      </c>
      <c r="C30" s="22" t="s">
        <v>23</v>
      </c>
      <c r="D30" s="23" t="s">
        <v>25</v>
      </c>
      <c r="F30" s="186"/>
      <c r="G30" s="187"/>
      <c r="H30" s="188"/>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31"/>
      <c r="J44" s="29"/>
      <c r="K44" s="29"/>
      <c r="L44" s="131"/>
      <c r="M44" s="30"/>
      <c r="N44" s="16"/>
    </row>
    <row r="45" spans="1:14" x14ac:dyDescent="0.3">
      <c r="A45" s="106"/>
      <c r="B45" s="107"/>
      <c r="C45" s="107"/>
      <c r="D45" s="114"/>
      <c r="F45" s="103"/>
      <c r="G45" s="104"/>
      <c r="H45" s="109"/>
      <c r="I45" s="131"/>
      <c r="J45" s="29"/>
      <c r="K45" s="29"/>
      <c r="L45" s="131"/>
      <c r="M45" s="30"/>
      <c r="N45" s="16"/>
    </row>
    <row r="46" spans="1:14" s="34" customFormat="1" x14ac:dyDescent="0.3">
      <c r="A46" s="178" t="s">
        <v>54</v>
      </c>
      <c r="B46" s="179"/>
      <c r="C46" s="179"/>
      <c r="D46" s="96">
        <f>SUM(Tree_76[Amount])</f>
        <v>0</v>
      </c>
      <c r="F46" s="173" t="s">
        <v>33</v>
      </c>
      <c r="G46" s="174"/>
      <c r="H46" s="174"/>
      <c r="I46" s="43"/>
      <c r="J46" s="43"/>
      <c r="K46" s="43"/>
      <c r="L46" s="43"/>
      <c r="M46" s="36"/>
      <c r="N46" s="37"/>
    </row>
    <row r="47" spans="1:14" s="40" customFormat="1" ht="11.1" customHeight="1" x14ac:dyDescent="0.3">
      <c r="A47" s="38"/>
      <c r="B47" s="38"/>
      <c r="C47" s="38"/>
      <c r="D47" s="39"/>
      <c r="F47" s="173"/>
      <c r="G47" s="174"/>
      <c r="H47" s="174"/>
      <c r="I47" s="43"/>
      <c r="J47" s="43"/>
      <c r="K47" s="43"/>
      <c r="L47" s="43"/>
      <c r="M47" s="36"/>
      <c r="N47" s="37"/>
    </row>
    <row r="48" spans="1:14" s="17" customFormat="1" ht="23.1" customHeight="1" x14ac:dyDescent="0.3">
      <c r="A48" s="191" t="s">
        <v>68</v>
      </c>
      <c r="B48" s="192"/>
      <c r="C48" s="192"/>
      <c r="D48" s="193"/>
      <c r="F48" s="183" t="s">
        <v>55</v>
      </c>
      <c r="G48" s="184"/>
      <c r="H48" s="185"/>
      <c r="I48" s="44"/>
      <c r="J48" s="44"/>
      <c r="K48" s="44"/>
      <c r="L48" s="44"/>
      <c r="M48" s="19"/>
      <c r="N48" s="20"/>
    </row>
    <row r="49" spans="1:14" s="41" customFormat="1" ht="12.75" customHeight="1" x14ac:dyDescent="0.25">
      <c r="A49" s="21" t="s">
        <v>21</v>
      </c>
      <c r="B49" s="22" t="s">
        <v>22</v>
      </c>
      <c r="C49" s="22" t="s">
        <v>23</v>
      </c>
      <c r="D49" s="23" t="s">
        <v>25</v>
      </c>
      <c r="F49" s="186"/>
      <c r="G49" s="187"/>
      <c r="H49" s="188"/>
      <c r="I49" s="131"/>
      <c r="J49" s="131"/>
      <c r="K49" s="131"/>
      <c r="L49" s="131"/>
      <c r="M49" s="30"/>
      <c r="N49" s="42"/>
    </row>
    <row r="50" spans="1:14" x14ac:dyDescent="0.3">
      <c r="A50" s="100"/>
      <c r="B50" s="101"/>
      <c r="C50" s="101"/>
      <c r="D50" s="112"/>
      <c r="F50" s="103"/>
      <c r="G50" s="104"/>
      <c r="H50" s="109"/>
      <c r="I50" s="131"/>
      <c r="J50" s="131"/>
      <c r="K50" s="131"/>
      <c r="L50" s="131"/>
      <c r="M50" s="30"/>
      <c r="N50" s="16"/>
    </row>
    <row r="51" spans="1:14" x14ac:dyDescent="0.3">
      <c r="A51" s="106"/>
      <c r="B51" s="107"/>
      <c r="C51" s="107"/>
      <c r="D51" s="113"/>
      <c r="F51" s="103"/>
      <c r="G51" s="104"/>
      <c r="H51" s="109"/>
      <c r="I51" s="131"/>
      <c r="J51" s="131"/>
      <c r="K51" s="131"/>
      <c r="L51" s="131"/>
      <c r="M51" s="30"/>
      <c r="N51" s="16"/>
    </row>
    <row r="52" spans="1:14" x14ac:dyDescent="0.3">
      <c r="A52" s="106"/>
      <c r="B52" s="107"/>
      <c r="C52" s="107"/>
      <c r="D52" s="114"/>
      <c r="F52" s="103"/>
      <c r="H52" s="109"/>
      <c r="I52" s="131"/>
      <c r="J52" s="131"/>
      <c r="K52" s="131"/>
      <c r="L52" s="131"/>
      <c r="M52" s="30"/>
      <c r="N52" s="16"/>
    </row>
    <row r="53" spans="1:14" x14ac:dyDescent="0.3">
      <c r="A53" s="106"/>
      <c r="B53" s="107"/>
      <c r="C53" s="107"/>
      <c r="D53" s="113"/>
      <c r="F53" s="103"/>
      <c r="G53" s="104"/>
      <c r="H53" s="109"/>
      <c r="I53" s="131"/>
      <c r="J53" s="131"/>
      <c r="K53" s="131"/>
      <c r="L53" s="131"/>
      <c r="M53" s="30"/>
      <c r="N53" s="16"/>
    </row>
    <row r="54" spans="1:14" x14ac:dyDescent="0.3">
      <c r="A54" s="106"/>
      <c r="B54" s="107"/>
      <c r="C54" s="107"/>
      <c r="D54" s="114"/>
      <c r="F54" s="103"/>
      <c r="G54" s="104"/>
      <c r="H54" s="109"/>
      <c r="I54" s="131"/>
      <c r="J54" s="131"/>
      <c r="K54" s="131"/>
      <c r="L54" s="131"/>
      <c r="M54" s="30"/>
      <c r="N54" s="16"/>
    </row>
    <row r="55" spans="1:14" x14ac:dyDescent="0.3">
      <c r="A55" s="106"/>
      <c r="B55" s="107"/>
      <c r="C55" s="107"/>
      <c r="D55" s="113"/>
      <c r="F55" s="103"/>
      <c r="G55" s="104"/>
      <c r="H55" s="109"/>
      <c r="I55" s="131"/>
      <c r="J55" s="131"/>
      <c r="K55" s="131"/>
      <c r="L55" s="131"/>
      <c r="M55" s="30"/>
      <c r="N55" s="16"/>
    </row>
    <row r="56" spans="1:14" x14ac:dyDescent="0.3">
      <c r="A56" s="106"/>
      <c r="B56" s="107"/>
      <c r="C56" s="107"/>
      <c r="D56" s="114"/>
      <c r="F56" s="103"/>
      <c r="G56" s="104"/>
      <c r="H56" s="109"/>
      <c r="I56" s="131"/>
      <c r="J56" s="131"/>
      <c r="K56" s="131"/>
      <c r="L56" s="131"/>
      <c r="M56" s="30"/>
      <c r="N56" s="16"/>
    </row>
    <row r="57" spans="1:14" x14ac:dyDescent="0.3">
      <c r="A57" s="106"/>
      <c r="B57" s="107"/>
      <c r="C57" s="107"/>
      <c r="D57" s="113"/>
      <c r="F57" s="103"/>
      <c r="G57" s="104"/>
      <c r="H57" s="109"/>
      <c r="I57" s="131"/>
      <c r="J57" s="131"/>
      <c r="K57" s="131"/>
      <c r="L57" s="131"/>
      <c r="M57" s="30"/>
      <c r="N57" s="16"/>
    </row>
    <row r="58" spans="1:14" x14ac:dyDescent="0.3">
      <c r="A58" s="106"/>
      <c r="B58" s="107"/>
      <c r="C58" s="107"/>
      <c r="D58" s="114"/>
      <c r="F58" s="103"/>
      <c r="G58" s="104"/>
      <c r="H58" s="109"/>
      <c r="I58" s="131"/>
      <c r="J58" s="131"/>
      <c r="K58" s="131"/>
      <c r="L58" s="131"/>
      <c r="M58" s="30"/>
      <c r="N58" s="16"/>
    </row>
    <row r="59" spans="1:14" x14ac:dyDescent="0.3">
      <c r="A59" s="106"/>
      <c r="B59" s="107"/>
      <c r="C59" s="107"/>
      <c r="D59" s="113"/>
      <c r="F59" s="103"/>
      <c r="G59" s="104"/>
      <c r="H59" s="109"/>
      <c r="I59" s="131"/>
      <c r="J59" s="190"/>
      <c r="K59" s="190"/>
      <c r="L59" s="131"/>
      <c r="M59" s="30"/>
      <c r="N59" s="16"/>
    </row>
    <row r="60" spans="1:14" x14ac:dyDescent="0.3">
      <c r="A60" s="106"/>
      <c r="B60" s="107"/>
      <c r="C60" s="107"/>
      <c r="D60" s="114"/>
      <c r="F60" s="103"/>
      <c r="G60" s="104"/>
      <c r="H60" s="109"/>
      <c r="I60" s="189"/>
      <c r="J60" s="189"/>
      <c r="K60" s="189"/>
      <c r="L60" s="189"/>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78" t="s">
        <v>56</v>
      </c>
      <c r="B65" s="179"/>
      <c r="C65" s="179"/>
      <c r="D65" s="96">
        <f>SUM(Pest_76[Amount])</f>
        <v>0</v>
      </c>
      <c r="F65" s="173" t="s">
        <v>33</v>
      </c>
      <c r="G65" s="174"/>
      <c r="H65" s="174"/>
    </row>
    <row r="66" spans="1:8" x14ac:dyDescent="0.3">
      <c r="F66" s="173"/>
      <c r="G66" s="174"/>
      <c r="H66" s="174"/>
    </row>
    <row r="67" spans="1:8" ht="17.399999999999999" x14ac:dyDescent="0.3">
      <c r="A67" s="198" t="s">
        <v>69</v>
      </c>
      <c r="B67" s="198"/>
      <c r="C67" s="198"/>
      <c r="D67" s="198"/>
      <c r="E67" s="17"/>
      <c r="F67" s="183" t="s">
        <v>57</v>
      </c>
      <c r="G67" s="184"/>
      <c r="H67" s="185"/>
    </row>
    <row r="68" spans="1:8" x14ac:dyDescent="0.3">
      <c r="A68" s="21" t="s">
        <v>21</v>
      </c>
      <c r="B68" s="22" t="s">
        <v>22</v>
      </c>
      <c r="C68" s="22" t="s">
        <v>23</v>
      </c>
      <c r="D68" s="23" t="s">
        <v>25</v>
      </c>
      <c r="E68" s="24"/>
      <c r="F68" s="186"/>
      <c r="G68" s="187"/>
      <c r="H68" s="188"/>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78" t="s">
        <v>58</v>
      </c>
      <c r="B84" s="179"/>
      <c r="C84" s="179"/>
      <c r="D84" s="96">
        <f>SUM(Garbage_76[Amount])</f>
        <v>0</v>
      </c>
      <c r="E84" s="34"/>
      <c r="F84" s="173" t="s">
        <v>33</v>
      </c>
      <c r="G84" s="174"/>
      <c r="H84" s="174"/>
    </row>
    <row r="85" spans="1:8" x14ac:dyDescent="0.3">
      <c r="A85" s="38"/>
      <c r="B85" s="38"/>
      <c r="C85" s="38"/>
      <c r="D85" s="39"/>
      <c r="E85" s="40"/>
      <c r="F85" s="173"/>
      <c r="G85" s="174"/>
      <c r="H85" s="174"/>
    </row>
    <row r="86" spans="1:8" ht="17.399999999999999" x14ac:dyDescent="0.3">
      <c r="A86" s="191" t="s">
        <v>59</v>
      </c>
      <c r="B86" s="192"/>
      <c r="C86" s="192"/>
      <c r="D86" s="193"/>
      <c r="E86" s="17"/>
      <c r="F86" s="183" t="s">
        <v>60</v>
      </c>
      <c r="G86" s="184"/>
      <c r="H86" s="185"/>
    </row>
    <row r="87" spans="1:8" x14ac:dyDescent="0.3">
      <c r="A87" s="21" t="s">
        <v>21</v>
      </c>
      <c r="B87" s="22" t="s">
        <v>22</v>
      </c>
      <c r="C87" s="22" t="s">
        <v>23</v>
      </c>
      <c r="D87" s="23" t="s">
        <v>25</v>
      </c>
      <c r="E87" s="41"/>
      <c r="F87" s="186"/>
      <c r="G87" s="187"/>
      <c r="H87" s="188"/>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78" t="s">
        <v>61</v>
      </c>
      <c r="B103" s="179"/>
      <c r="C103" s="179"/>
      <c r="D103" s="96">
        <f>SUM(Boarding_76[Amount])</f>
        <v>0</v>
      </c>
      <c r="E103" s="34"/>
      <c r="F103" s="173" t="s">
        <v>33</v>
      </c>
      <c r="G103" s="174"/>
      <c r="H103" s="174"/>
    </row>
    <row r="104" spans="1:8" x14ac:dyDescent="0.3">
      <c r="A104" s="38"/>
      <c r="B104" s="38"/>
      <c r="C104" s="38"/>
      <c r="D104" s="39"/>
      <c r="E104" s="40"/>
      <c r="F104" s="173"/>
      <c r="G104" s="174"/>
      <c r="H104" s="174"/>
    </row>
    <row r="105" spans="1:8" ht="17.399999999999999" x14ac:dyDescent="0.3">
      <c r="A105" s="191" t="s">
        <v>70</v>
      </c>
      <c r="B105" s="192"/>
      <c r="C105" s="192"/>
      <c r="D105" s="193"/>
      <c r="E105" s="17"/>
      <c r="F105" s="183" t="s">
        <v>62</v>
      </c>
      <c r="G105" s="184"/>
      <c r="H105" s="185"/>
    </row>
    <row r="106" spans="1:8" x14ac:dyDescent="0.3">
      <c r="A106" s="21" t="s">
        <v>21</v>
      </c>
      <c r="B106" s="22" t="s">
        <v>22</v>
      </c>
      <c r="C106" s="22" t="s">
        <v>23</v>
      </c>
      <c r="D106" s="23" t="s">
        <v>25</v>
      </c>
      <c r="E106" s="41"/>
      <c r="F106" s="186"/>
      <c r="G106" s="187"/>
      <c r="H106" s="188"/>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78" t="s">
        <v>63</v>
      </c>
      <c r="B122" s="179"/>
      <c r="C122" s="179"/>
      <c r="D122" s="96">
        <f>SUM(Fence_76[Amount])</f>
        <v>0</v>
      </c>
      <c r="E122" s="34"/>
      <c r="F122" s="173" t="s">
        <v>33</v>
      </c>
      <c r="G122" s="174"/>
      <c r="H122" s="174"/>
    </row>
    <row r="123" spans="1:8" x14ac:dyDescent="0.3">
      <c r="F123" s="173"/>
      <c r="G123" s="174"/>
      <c r="H123" s="174"/>
    </row>
    <row r="124" spans="1:8" ht="17.399999999999999" x14ac:dyDescent="0.3">
      <c r="A124" s="191" t="s">
        <v>26</v>
      </c>
      <c r="B124" s="192"/>
      <c r="C124" s="192"/>
      <c r="D124" s="193"/>
      <c r="E124" s="17"/>
      <c r="F124" s="183" t="s">
        <v>11</v>
      </c>
      <c r="G124" s="184"/>
      <c r="H124" s="185"/>
    </row>
    <row r="125" spans="1:8" x14ac:dyDescent="0.3">
      <c r="A125" s="21" t="s">
        <v>21</v>
      </c>
      <c r="B125" s="22" t="s">
        <v>22</v>
      </c>
      <c r="C125" s="22" t="s">
        <v>23</v>
      </c>
      <c r="D125" s="23" t="s">
        <v>25</v>
      </c>
      <c r="E125" s="41"/>
      <c r="F125" s="186"/>
      <c r="G125" s="187"/>
      <c r="H125" s="188"/>
    </row>
    <row r="126" spans="1:8" x14ac:dyDescent="0.3">
      <c r="A126" s="100"/>
      <c r="B126" s="101"/>
      <c r="C126" s="101"/>
      <c r="D126" s="112">
        <v>50510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78" t="s">
        <v>27</v>
      </c>
      <c r="B141" s="179"/>
      <c r="C141" s="179"/>
      <c r="D141" s="96">
        <f>SUM(Demolition_76[Amount])</f>
        <v>50510</v>
      </c>
      <c r="E141" s="34"/>
      <c r="F141" s="173" t="s">
        <v>33</v>
      </c>
      <c r="G141" s="174"/>
      <c r="H141" s="174"/>
    </row>
    <row r="142" spans="1:8" x14ac:dyDescent="0.3">
      <c r="A142" s="38"/>
      <c r="B142" s="38"/>
      <c r="C142" s="38"/>
      <c r="D142" s="39"/>
      <c r="E142" s="40"/>
      <c r="F142" s="173"/>
      <c r="G142" s="174"/>
      <c r="H142" s="174"/>
    </row>
    <row r="143" spans="1:8" ht="17.399999999999999" x14ac:dyDescent="0.3">
      <c r="A143" s="191" t="s">
        <v>64</v>
      </c>
      <c r="B143" s="192"/>
      <c r="C143" s="192"/>
      <c r="D143" s="193"/>
      <c r="E143" s="17"/>
      <c r="F143" s="183" t="s">
        <v>44</v>
      </c>
      <c r="G143" s="184"/>
      <c r="H143" s="185"/>
    </row>
    <row r="144" spans="1:8" x14ac:dyDescent="0.3">
      <c r="A144" s="21" t="s">
        <v>21</v>
      </c>
      <c r="B144" s="22" t="s">
        <v>22</v>
      </c>
      <c r="C144" s="22" t="s">
        <v>23</v>
      </c>
      <c r="D144" s="23" t="s">
        <v>25</v>
      </c>
      <c r="E144" s="41"/>
      <c r="F144" s="186"/>
      <c r="G144" s="187"/>
      <c r="H144" s="188"/>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78" t="s">
        <v>65</v>
      </c>
      <c r="B160" s="179"/>
      <c r="C160" s="179"/>
      <c r="D160" s="96">
        <f>SUM(Rehab_76[Amount])</f>
        <v>0</v>
      </c>
      <c r="E160" s="34"/>
      <c r="F160" s="173" t="s">
        <v>33</v>
      </c>
      <c r="G160" s="174"/>
      <c r="H160" s="174"/>
    </row>
    <row r="161" spans="6:8" x14ac:dyDescent="0.3">
      <c r="F161" s="173"/>
      <c r="G161" s="174"/>
      <c r="H161" s="174"/>
    </row>
  </sheetData>
  <sheetProtection algorithmName="SHA-512" hashValue="poEi/JkROLeJfynVjTDkwMszUXTngK0+2YqXGx0o7FWYaqTjbKHFGgONevYgnljMivASqhCxivyisVSdyhhE1Q==" saltValue="YfoRebZTE5/Bqosi4oMbfA=="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61"/>
  <sheetViews>
    <sheetView showGridLines="0" zoomScaleNormal="100" workbookViewId="0">
      <pane ySplit="9" topLeftCell="A110"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5" t="s">
        <v>24</v>
      </c>
      <c r="B1" s="175"/>
      <c r="C1" s="175"/>
      <c r="D1" s="175"/>
      <c r="E1" s="1"/>
      <c r="F1" s="2"/>
      <c r="G1" s="2"/>
      <c r="H1" s="1"/>
    </row>
    <row r="2" spans="1:14" ht="24.9" customHeight="1" x14ac:dyDescent="0.3">
      <c r="A2" s="176" t="s">
        <v>71</v>
      </c>
      <c r="B2" s="176"/>
      <c r="C2" s="176"/>
      <c r="D2" s="176"/>
      <c r="E2" s="4"/>
      <c r="F2" s="130"/>
      <c r="G2" s="130"/>
      <c r="H2" s="5"/>
    </row>
    <row r="3" spans="1:14" ht="31.5" customHeight="1" x14ac:dyDescent="0.3">
      <c r="A3" s="176"/>
      <c r="B3" s="176"/>
      <c r="C3" s="176"/>
      <c r="D3" s="176"/>
      <c r="E3" s="4"/>
      <c r="F3" s="130"/>
      <c r="G3" s="130"/>
      <c r="H3" s="5"/>
    </row>
    <row r="4" spans="1:14" ht="15" customHeight="1" x14ac:dyDescent="0.25">
      <c r="A4" s="75" t="s">
        <v>19</v>
      </c>
      <c r="B4" s="194" t="str">
        <f>IF('Summary Sheet'!B109="","",'Summary Sheet'!B109)</f>
        <v>303 E 119TH ST</v>
      </c>
      <c r="C4" s="194"/>
      <c r="D4" s="130"/>
      <c r="E4" s="4"/>
      <c r="F4" s="130"/>
      <c r="G4" s="130"/>
      <c r="H4" s="5"/>
    </row>
    <row r="5" spans="1:14" ht="15" customHeight="1" x14ac:dyDescent="0.25">
      <c r="A5" s="75" t="s">
        <v>20</v>
      </c>
      <c r="B5" s="195" t="str">
        <f>IF('Summary Sheet'!C109="","",'Summary Sheet'!C109)</f>
        <v/>
      </c>
      <c r="C5" s="195"/>
      <c r="D5" s="130"/>
      <c r="E5" s="4"/>
      <c r="F5" s="130"/>
      <c r="G5" s="130"/>
      <c r="H5" s="5"/>
    </row>
    <row r="6" spans="1:14" ht="15" customHeight="1" x14ac:dyDescent="0.25">
      <c r="A6" s="75" t="s">
        <v>36</v>
      </c>
      <c r="B6" s="177"/>
      <c r="C6" s="177"/>
      <c r="D6" s="6"/>
      <c r="E6" s="7"/>
    </row>
    <row r="7" spans="1:14" ht="15" customHeight="1" x14ac:dyDescent="0.25">
      <c r="A7" s="7"/>
      <c r="B7" s="196" t="s">
        <v>34</v>
      </c>
      <c r="C7" s="196"/>
      <c r="D7" s="10"/>
    </row>
    <row r="8" spans="1:14" ht="20.100000000000001" customHeight="1" x14ac:dyDescent="0.25">
      <c r="B8" s="11"/>
      <c r="C8" s="11"/>
      <c r="D8" s="12" t="s">
        <v>31</v>
      </c>
      <c r="F8" s="180" t="s">
        <v>32</v>
      </c>
      <c r="G8" s="181"/>
      <c r="H8" s="182"/>
    </row>
    <row r="9" spans="1:14" s="14" customFormat="1" ht="20.100000000000001" customHeight="1" x14ac:dyDescent="0.25">
      <c r="A9" s="197"/>
      <c r="B9" s="197"/>
      <c r="C9" s="197"/>
      <c r="D9" s="13">
        <f>SUM(D27,D46,D65,D84,D103,D122,D141,D160)</f>
        <v>19010</v>
      </c>
      <c r="F9" s="15" t="s">
        <v>28</v>
      </c>
      <c r="G9" s="15" t="s">
        <v>29</v>
      </c>
      <c r="H9" s="15" t="s">
        <v>30</v>
      </c>
      <c r="I9" s="16"/>
      <c r="J9" s="16"/>
      <c r="K9" s="16"/>
      <c r="L9" s="16"/>
      <c r="M9" s="16"/>
      <c r="N9" s="16"/>
    </row>
    <row r="10" spans="1:14" s="17" customFormat="1" ht="23.1" customHeight="1" x14ac:dyDescent="0.3">
      <c r="A10" s="198" t="s">
        <v>51</v>
      </c>
      <c r="B10" s="198"/>
      <c r="C10" s="198"/>
      <c r="D10" s="198"/>
      <c r="F10" s="183" t="s">
        <v>66</v>
      </c>
      <c r="G10" s="184"/>
      <c r="H10" s="185"/>
      <c r="I10" s="18"/>
      <c r="J10" s="18"/>
      <c r="K10" s="18"/>
      <c r="L10" s="18"/>
      <c r="M10" s="19"/>
      <c r="N10" s="20"/>
    </row>
    <row r="11" spans="1:14" s="24" customFormat="1" ht="12.75" customHeight="1" x14ac:dyDescent="0.25">
      <c r="A11" s="21" t="s">
        <v>21</v>
      </c>
      <c r="B11" s="22" t="s">
        <v>22</v>
      </c>
      <c r="C11" s="22" t="s">
        <v>23</v>
      </c>
      <c r="D11" s="23" t="s">
        <v>25</v>
      </c>
      <c r="F11" s="186"/>
      <c r="G11" s="187"/>
      <c r="H11" s="188"/>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78" t="s">
        <v>53</v>
      </c>
      <c r="B27" s="179"/>
      <c r="C27" s="179"/>
      <c r="D27" s="96">
        <f>SUM(Grass_77[Amount])</f>
        <v>0</v>
      </c>
      <c r="F27" s="173" t="s">
        <v>33</v>
      </c>
      <c r="G27" s="174"/>
      <c r="H27" s="174"/>
      <c r="I27" s="35"/>
      <c r="J27" s="35"/>
      <c r="K27" s="35"/>
      <c r="L27" s="35"/>
      <c r="M27" s="36"/>
      <c r="N27" s="37"/>
    </row>
    <row r="28" spans="1:14" s="40" customFormat="1" ht="11.1" customHeight="1" x14ac:dyDescent="0.3">
      <c r="A28" s="38"/>
      <c r="B28" s="38"/>
      <c r="C28" s="38"/>
      <c r="D28" s="39"/>
      <c r="F28" s="173"/>
      <c r="G28" s="174"/>
      <c r="H28" s="174"/>
      <c r="I28" s="35"/>
      <c r="J28" s="35"/>
      <c r="K28" s="35"/>
      <c r="L28" s="35"/>
      <c r="M28" s="36"/>
      <c r="N28" s="37"/>
    </row>
    <row r="29" spans="1:14" s="17" customFormat="1" ht="23.1" customHeight="1" x14ac:dyDescent="0.3">
      <c r="A29" s="191" t="s">
        <v>67</v>
      </c>
      <c r="B29" s="192"/>
      <c r="C29" s="192"/>
      <c r="D29" s="193"/>
      <c r="F29" s="183" t="s">
        <v>52</v>
      </c>
      <c r="G29" s="184"/>
      <c r="H29" s="185"/>
      <c r="I29" s="18"/>
      <c r="J29" s="18"/>
      <c r="K29" s="18"/>
      <c r="L29" s="18"/>
      <c r="M29" s="19"/>
      <c r="N29" s="20"/>
    </row>
    <row r="30" spans="1:14" s="41" customFormat="1" ht="12.75" customHeight="1" x14ac:dyDescent="0.25">
      <c r="A30" s="21" t="s">
        <v>21</v>
      </c>
      <c r="B30" s="22" t="s">
        <v>22</v>
      </c>
      <c r="C30" s="22" t="s">
        <v>23</v>
      </c>
      <c r="D30" s="23" t="s">
        <v>25</v>
      </c>
      <c r="F30" s="186"/>
      <c r="G30" s="187"/>
      <c r="H30" s="188"/>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31"/>
      <c r="J44" s="29"/>
      <c r="K44" s="29"/>
      <c r="L44" s="131"/>
      <c r="M44" s="30"/>
      <c r="N44" s="16"/>
    </row>
    <row r="45" spans="1:14" x14ac:dyDescent="0.3">
      <c r="A45" s="106"/>
      <c r="B45" s="107"/>
      <c r="C45" s="107"/>
      <c r="D45" s="114"/>
      <c r="F45" s="103"/>
      <c r="G45" s="104"/>
      <c r="H45" s="109"/>
      <c r="I45" s="131"/>
      <c r="J45" s="29"/>
      <c r="K45" s="29"/>
      <c r="L45" s="131"/>
      <c r="M45" s="30"/>
      <c r="N45" s="16"/>
    </row>
    <row r="46" spans="1:14" s="34" customFormat="1" x14ac:dyDescent="0.3">
      <c r="A46" s="178" t="s">
        <v>54</v>
      </c>
      <c r="B46" s="179"/>
      <c r="C46" s="179"/>
      <c r="D46" s="96">
        <f>SUM(Tree_77[Amount])</f>
        <v>0</v>
      </c>
      <c r="F46" s="173" t="s">
        <v>33</v>
      </c>
      <c r="G46" s="174"/>
      <c r="H46" s="174"/>
      <c r="I46" s="43"/>
      <c r="J46" s="43"/>
      <c r="K46" s="43"/>
      <c r="L46" s="43"/>
      <c r="M46" s="36"/>
      <c r="N46" s="37"/>
    </row>
    <row r="47" spans="1:14" s="40" customFormat="1" ht="11.1" customHeight="1" x14ac:dyDescent="0.3">
      <c r="A47" s="38"/>
      <c r="B47" s="38"/>
      <c r="C47" s="38"/>
      <c r="D47" s="39"/>
      <c r="F47" s="173"/>
      <c r="G47" s="174"/>
      <c r="H47" s="174"/>
      <c r="I47" s="43"/>
      <c r="J47" s="43"/>
      <c r="K47" s="43"/>
      <c r="L47" s="43"/>
      <c r="M47" s="36"/>
      <c r="N47" s="37"/>
    </row>
    <row r="48" spans="1:14" s="17" customFormat="1" ht="23.1" customHeight="1" x14ac:dyDescent="0.3">
      <c r="A48" s="191" t="s">
        <v>68</v>
      </c>
      <c r="B48" s="192"/>
      <c r="C48" s="192"/>
      <c r="D48" s="193"/>
      <c r="F48" s="183" t="s">
        <v>55</v>
      </c>
      <c r="G48" s="184"/>
      <c r="H48" s="185"/>
      <c r="I48" s="44"/>
      <c r="J48" s="44"/>
      <c r="K48" s="44"/>
      <c r="L48" s="44"/>
      <c r="M48" s="19"/>
      <c r="N48" s="20"/>
    </row>
    <row r="49" spans="1:14" s="41" customFormat="1" ht="12.75" customHeight="1" x14ac:dyDescent="0.25">
      <c r="A49" s="21" t="s">
        <v>21</v>
      </c>
      <c r="B49" s="22" t="s">
        <v>22</v>
      </c>
      <c r="C49" s="22" t="s">
        <v>23</v>
      </c>
      <c r="D49" s="23" t="s">
        <v>25</v>
      </c>
      <c r="F49" s="186"/>
      <c r="G49" s="187"/>
      <c r="H49" s="188"/>
      <c r="I49" s="131"/>
      <c r="J49" s="131"/>
      <c r="K49" s="131"/>
      <c r="L49" s="131"/>
      <c r="M49" s="30"/>
      <c r="N49" s="42"/>
    </row>
    <row r="50" spans="1:14" x14ac:dyDescent="0.3">
      <c r="A50" s="100"/>
      <c r="B50" s="101"/>
      <c r="C50" s="101"/>
      <c r="D50" s="112"/>
      <c r="F50" s="103"/>
      <c r="G50" s="104"/>
      <c r="H50" s="109"/>
      <c r="I50" s="131"/>
      <c r="J50" s="131"/>
      <c r="K50" s="131"/>
      <c r="L50" s="131"/>
      <c r="M50" s="30"/>
      <c r="N50" s="16"/>
    </row>
    <row r="51" spans="1:14" x14ac:dyDescent="0.3">
      <c r="A51" s="106"/>
      <c r="B51" s="107"/>
      <c r="C51" s="107"/>
      <c r="D51" s="113"/>
      <c r="F51" s="103"/>
      <c r="G51" s="104"/>
      <c r="H51" s="109"/>
      <c r="I51" s="131"/>
      <c r="J51" s="131"/>
      <c r="K51" s="131"/>
      <c r="L51" s="131"/>
      <c r="M51" s="30"/>
      <c r="N51" s="16"/>
    </row>
    <row r="52" spans="1:14" x14ac:dyDescent="0.3">
      <c r="A52" s="106"/>
      <c r="B52" s="107"/>
      <c r="C52" s="107"/>
      <c r="D52" s="114"/>
      <c r="F52" s="103"/>
      <c r="H52" s="109"/>
      <c r="I52" s="131"/>
      <c r="J52" s="131"/>
      <c r="K52" s="131"/>
      <c r="L52" s="131"/>
      <c r="M52" s="30"/>
      <c r="N52" s="16"/>
    </row>
    <row r="53" spans="1:14" x14ac:dyDescent="0.3">
      <c r="A53" s="106"/>
      <c r="B53" s="107"/>
      <c r="C53" s="107"/>
      <c r="D53" s="113"/>
      <c r="F53" s="103"/>
      <c r="G53" s="104"/>
      <c r="H53" s="109"/>
      <c r="I53" s="131"/>
      <c r="J53" s="131"/>
      <c r="K53" s="131"/>
      <c r="L53" s="131"/>
      <c r="M53" s="30"/>
      <c r="N53" s="16"/>
    </row>
    <row r="54" spans="1:14" x14ac:dyDescent="0.3">
      <c r="A54" s="106"/>
      <c r="B54" s="107"/>
      <c r="C54" s="107"/>
      <c r="D54" s="114"/>
      <c r="F54" s="103"/>
      <c r="G54" s="104"/>
      <c r="H54" s="109"/>
      <c r="I54" s="131"/>
      <c r="J54" s="131"/>
      <c r="K54" s="131"/>
      <c r="L54" s="131"/>
      <c r="M54" s="30"/>
      <c r="N54" s="16"/>
    </row>
    <row r="55" spans="1:14" x14ac:dyDescent="0.3">
      <c r="A55" s="106"/>
      <c r="B55" s="107"/>
      <c r="C55" s="107"/>
      <c r="D55" s="113"/>
      <c r="F55" s="103"/>
      <c r="G55" s="104"/>
      <c r="H55" s="109"/>
      <c r="I55" s="131"/>
      <c r="J55" s="131"/>
      <c r="K55" s="131"/>
      <c r="L55" s="131"/>
      <c r="M55" s="30"/>
      <c r="N55" s="16"/>
    </row>
    <row r="56" spans="1:14" x14ac:dyDescent="0.3">
      <c r="A56" s="106"/>
      <c r="B56" s="107"/>
      <c r="C56" s="107"/>
      <c r="D56" s="114"/>
      <c r="F56" s="103"/>
      <c r="G56" s="104"/>
      <c r="H56" s="109"/>
      <c r="I56" s="131"/>
      <c r="J56" s="131"/>
      <c r="K56" s="131"/>
      <c r="L56" s="131"/>
      <c r="M56" s="30"/>
      <c r="N56" s="16"/>
    </row>
    <row r="57" spans="1:14" x14ac:dyDescent="0.3">
      <c r="A57" s="106"/>
      <c r="B57" s="107"/>
      <c r="C57" s="107"/>
      <c r="D57" s="113"/>
      <c r="F57" s="103"/>
      <c r="G57" s="104"/>
      <c r="H57" s="109"/>
      <c r="I57" s="131"/>
      <c r="J57" s="131"/>
      <c r="K57" s="131"/>
      <c r="L57" s="131"/>
      <c r="M57" s="30"/>
      <c r="N57" s="16"/>
    </row>
    <row r="58" spans="1:14" x14ac:dyDescent="0.3">
      <c r="A58" s="106"/>
      <c r="B58" s="107"/>
      <c r="C58" s="107"/>
      <c r="D58" s="114"/>
      <c r="F58" s="103"/>
      <c r="G58" s="104"/>
      <c r="H58" s="109"/>
      <c r="I58" s="131"/>
      <c r="J58" s="131"/>
      <c r="K58" s="131"/>
      <c r="L58" s="131"/>
      <c r="M58" s="30"/>
      <c r="N58" s="16"/>
    </row>
    <row r="59" spans="1:14" x14ac:dyDescent="0.3">
      <c r="A59" s="106"/>
      <c r="B59" s="107"/>
      <c r="C59" s="107"/>
      <c r="D59" s="113"/>
      <c r="F59" s="103"/>
      <c r="G59" s="104"/>
      <c r="H59" s="109"/>
      <c r="I59" s="131"/>
      <c r="J59" s="190"/>
      <c r="K59" s="190"/>
      <c r="L59" s="131"/>
      <c r="M59" s="30"/>
      <c r="N59" s="16"/>
    </row>
    <row r="60" spans="1:14" x14ac:dyDescent="0.3">
      <c r="A60" s="106"/>
      <c r="B60" s="107"/>
      <c r="C60" s="107"/>
      <c r="D60" s="114"/>
      <c r="F60" s="103"/>
      <c r="G60" s="104"/>
      <c r="H60" s="109"/>
      <c r="I60" s="189"/>
      <c r="J60" s="189"/>
      <c r="K60" s="189"/>
      <c r="L60" s="189"/>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78" t="s">
        <v>56</v>
      </c>
      <c r="B65" s="179"/>
      <c r="C65" s="179"/>
      <c r="D65" s="96">
        <f>SUM(Pest_77[Amount])</f>
        <v>0</v>
      </c>
      <c r="F65" s="173" t="s">
        <v>33</v>
      </c>
      <c r="G65" s="174"/>
      <c r="H65" s="174"/>
    </row>
    <row r="66" spans="1:8" x14ac:dyDescent="0.3">
      <c r="F66" s="173"/>
      <c r="G66" s="174"/>
      <c r="H66" s="174"/>
    </row>
    <row r="67" spans="1:8" ht="17.399999999999999" x14ac:dyDescent="0.3">
      <c r="A67" s="198" t="s">
        <v>69</v>
      </c>
      <c r="B67" s="198"/>
      <c r="C67" s="198"/>
      <c r="D67" s="198"/>
      <c r="E67" s="17"/>
      <c r="F67" s="183" t="s">
        <v>57</v>
      </c>
      <c r="G67" s="184"/>
      <c r="H67" s="185"/>
    </row>
    <row r="68" spans="1:8" x14ac:dyDescent="0.3">
      <c r="A68" s="21" t="s">
        <v>21</v>
      </c>
      <c r="B68" s="22" t="s">
        <v>22</v>
      </c>
      <c r="C68" s="22" t="s">
        <v>23</v>
      </c>
      <c r="D68" s="23" t="s">
        <v>25</v>
      </c>
      <c r="E68" s="24"/>
      <c r="F68" s="186"/>
      <c r="G68" s="187"/>
      <c r="H68" s="188"/>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78" t="s">
        <v>58</v>
      </c>
      <c r="B84" s="179"/>
      <c r="C84" s="179"/>
      <c r="D84" s="96">
        <f>SUM(Garbage_77[Amount])</f>
        <v>0</v>
      </c>
      <c r="E84" s="34"/>
      <c r="F84" s="173" t="s">
        <v>33</v>
      </c>
      <c r="G84" s="174"/>
      <c r="H84" s="174"/>
    </row>
    <row r="85" spans="1:8" x14ac:dyDescent="0.3">
      <c r="A85" s="38"/>
      <c r="B85" s="38"/>
      <c r="C85" s="38"/>
      <c r="D85" s="39"/>
      <c r="E85" s="40"/>
      <c r="F85" s="173"/>
      <c r="G85" s="174"/>
      <c r="H85" s="174"/>
    </row>
    <row r="86" spans="1:8" ht="17.399999999999999" x14ac:dyDescent="0.3">
      <c r="A86" s="191" t="s">
        <v>59</v>
      </c>
      <c r="B86" s="192"/>
      <c r="C86" s="192"/>
      <c r="D86" s="193"/>
      <c r="E86" s="17"/>
      <c r="F86" s="183" t="s">
        <v>60</v>
      </c>
      <c r="G86" s="184"/>
      <c r="H86" s="185"/>
    </row>
    <row r="87" spans="1:8" x14ac:dyDescent="0.3">
      <c r="A87" s="21" t="s">
        <v>21</v>
      </c>
      <c r="B87" s="22" t="s">
        <v>22</v>
      </c>
      <c r="C87" s="22" t="s">
        <v>23</v>
      </c>
      <c r="D87" s="23" t="s">
        <v>25</v>
      </c>
      <c r="E87" s="41"/>
      <c r="F87" s="186"/>
      <c r="G87" s="187"/>
      <c r="H87" s="188"/>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78" t="s">
        <v>61</v>
      </c>
      <c r="B103" s="179"/>
      <c r="C103" s="179"/>
      <c r="D103" s="96">
        <f>SUM(Boarding_77[Amount])</f>
        <v>0</v>
      </c>
      <c r="E103" s="34"/>
      <c r="F103" s="173" t="s">
        <v>33</v>
      </c>
      <c r="G103" s="174"/>
      <c r="H103" s="174"/>
    </row>
    <row r="104" spans="1:8" x14ac:dyDescent="0.3">
      <c r="A104" s="38"/>
      <c r="B104" s="38"/>
      <c r="C104" s="38"/>
      <c r="D104" s="39"/>
      <c r="E104" s="40"/>
      <c r="F104" s="173"/>
      <c r="G104" s="174"/>
      <c r="H104" s="174"/>
    </row>
    <row r="105" spans="1:8" ht="17.399999999999999" x14ac:dyDescent="0.3">
      <c r="A105" s="191" t="s">
        <v>70</v>
      </c>
      <c r="B105" s="192"/>
      <c r="C105" s="192"/>
      <c r="D105" s="193"/>
      <c r="E105" s="17"/>
      <c r="F105" s="183" t="s">
        <v>62</v>
      </c>
      <c r="G105" s="184"/>
      <c r="H105" s="185"/>
    </row>
    <row r="106" spans="1:8" x14ac:dyDescent="0.3">
      <c r="A106" s="21" t="s">
        <v>21</v>
      </c>
      <c r="B106" s="22" t="s">
        <v>22</v>
      </c>
      <c r="C106" s="22" t="s">
        <v>23</v>
      </c>
      <c r="D106" s="23" t="s">
        <v>25</v>
      </c>
      <c r="E106" s="41"/>
      <c r="F106" s="186"/>
      <c r="G106" s="187"/>
      <c r="H106" s="188"/>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78" t="s">
        <v>63</v>
      </c>
      <c r="B122" s="179"/>
      <c r="C122" s="179"/>
      <c r="D122" s="96">
        <f>SUM(Fence_77[Amount])</f>
        <v>0</v>
      </c>
      <c r="E122" s="34"/>
      <c r="F122" s="173" t="s">
        <v>33</v>
      </c>
      <c r="G122" s="174"/>
      <c r="H122" s="174"/>
    </row>
    <row r="123" spans="1:8" x14ac:dyDescent="0.3">
      <c r="F123" s="173"/>
      <c r="G123" s="174"/>
      <c r="H123" s="174"/>
    </row>
    <row r="124" spans="1:8" ht="17.399999999999999" x14ac:dyDescent="0.3">
      <c r="A124" s="191" t="s">
        <v>26</v>
      </c>
      <c r="B124" s="192"/>
      <c r="C124" s="192"/>
      <c r="D124" s="193"/>
      <c r="E124" s="17"/>
      <c r="F124" s="183" t="s">
        <v>11</v>
      </c>
      <c r="G124" s="184"/>
      <c r="H124" s="185"/>
    </row>
    <row r="125" spans="1:8" x14ac:dyDescent="0.3">
      <c r="A125" s="21" t="s">
        <v>21</v>
      </c>
      <c r="B125" s="22" t="s">
        <v>22</v>
      </c>
      <c r="C125" s="22" t="s">
        <v>23</v>
      </c>
      <c r="D125" s="23" t="s">
        <v>25</v>
      </c>
      <c r="E125" s="41"/>
      <c r="F125" s="186"/>
      <c r="G125" s="187"/>
      <c r="H125" s="188"/>
    </row>
    <row r="126" spans="1:8" x14ac:dyDescent="0.3">
      <c r="A126" s="100"/>
      <c r="B126" s="101"/>
      <c r="C126" s="101"/>
      <c r="D126" s="112">
        <v>19010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78" t="s">
        <v>27</v>
      </c>
      <c r="B141" s="179"/>
      <c r="C141" s="179"/>
      <c r="D141" s="96">
        <f>SUM(Demolition_77[Amount])</f>
        <v>19010</v>
      </c>
      <c r="E141" s="34"/>
      <c r="F141" s="173" t="s">
        <v>33</v>
      </c>
      <c r="G141" s="174"/>
      <c r="H141" s="174"/>
    </row>
    <row r="142" spans="1:8" x14ac:dyDescent="0.3">
      <c r="A142" s="38"/>
      <c r="B142" s="38"/>
      <c r="C142" s="38"/>
      <c r="D142" s="39"/>
      <c r="E142" s="40"/>
      <c r="F142" s="173"/>
      <c r="G142" s="174"/>
      <c r="H142" s="174"/>
    </row>
    <row r="143" spans="1:8" ht="17.399999999999999" x14ac:dyDescent="0.3">
      <c r="A143" s="191" t="s">
        <v>64</v>
      </c>
      <c r="B143" s="192"/>
      <c r="C143" s="192"/>
      <c r="D143" s="193"/>
      <c r="E143" s="17"/>
      <c r="F143" s="183" t="s">
        <v>44</v>
      </c>
      <c r="G143" s="184"/>
      <c r="H143" s="185"/>
    </row>
    <row r="144" spans="1:8" x14ac:dyDescent="0.3">
      <c r="A144" s="21" t="s">
        <v>21</v>
      </c>
      <c r="B144" s="22" t="s">
        <v>22</v>
      </c>
      <c r="C144" s="22" t="s">
        <v>23</v>
      </c>
      <c r="D144" s="23" t="s">
        <v>25</v>
      </c>
      <c r="E144" s="41"/>
      <c r="F144" s="186"/>
      <c r="G144" s="187"/>
      <c r="H144" s="188"/>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78" t="s">
        <v>65</v>
      </c>
      <c r="B160" s="179"/>
      <c r="C160" s="179"/>
      <c r="D160" s="96">
        <f>SUM(Rehab_77[Amount])</f>
        <v>0</v>
      </c>
      <c r="E160" s="34"/>
      <c r="F160" s="173" t="s">
        <v>33</v>
      </c>
      <c r="G160" s="174"/>
      <c r="H160" s="174"/>
    </row>
    <row r="161" spans="6:8" x14ac:dyDescent="0.3">
      <c r="F161" s="173"/>
      <c r="G161" s="174"/>
      <c r="H161" s="174"/>
    </row>
  </sheetData>
  <sheetProtection algorithmName="SHA-512" hashValue="HGWp0wMZpzJqNRWC9DNnUAs6Ctgroy2kGGpfxyjoy69D1Yl42+Zr0j+mVS1/Am0+ya65ssXpSuf8fsj9c5KKjw==" saltValue="vZJ33dCJbqrCSXQErGY3HQ=="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61"/>
  <sheetViews>
    <sheetView showGridLines="0" zoomScaleNormal="100" workbookViewId="0">
      <pane ySplit="9" topLeftCell="A115" activePane="bottomLeft" state="frozen"/>
      <selection activeCell="F10" sqref="F10:H11"/>
      <selection pane="bottomLeft" activeCell="B6" sqref="B6:C6"/>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5" t="s">
        <v>24</v>
      </c>
      <c r="B1" s="175"/>
      <c r="C1" s="175"/>
      <c r="D1" s="175"/>
      <c r="E1" s="1"/>
      <c r="F1" s="2"/>
      <c r="G1" s="2"/>
      <c r="H1" s="1"/>
    </row>
    <row r="2" spans="1:14" ht="24.9" customHeight="1" x14ac:dyDescent="0.3">
      <c r="A2" s="176" t="s">
        <v>71</v>
      </c>
      <c r="B2" s="176"/>
      <c r="C2" s="176"/>
      <c r="D2" s="176"/>
      <c r="E2" s="4"/>
      <c r="F2" s="130"/>
      <c r="G2" s="130"/>
      <c r="H2" s="5"/>
    </row>
    <row r="3" spans="1:14" ht="31.5" customHeight="1" x14ac:dyDescent="0.3">
      <c r="A3" s="176"/>
      <c r="B3" s="176"/>
      <c r="C3" s="176"/>
      <c r="D3" s="176"/>
      <c r="E3" s="4"/>
      <c r="F3" s="130"/>
      <c r="G3" s="130"/>
      <c r="H3" s="5"/>
    </row>
    <row r="4" spans="1:14" ht="15" customHeight="1" x14ac:dyDescent="0.25">
      <c r="A4" s="75" t="s">
        <v>19</v>
      </c>
      <c r="B4" s="194" t="str">
        <f>IF('Summary Sheet'!B110="","",'Summary Sheet'!B110)</f>
        <v>304 105TH ST</v>
      </c>
      <c r="C4" s="194"/>
      <c r="D4" s="130"/>
      <c r="E4" s="4"/>
      <c r="F4" s="130"/>
      <c r="G4" s="130"/>
      <c r="H4" s="5"/>
    </row>
    <row r="5" spans="1:14" ht="15" customHeight="1" x14ac:dyDescent="0.25">
      <c r="A5" s="75" t="s">
        <v>20</v>
      </c>
      <c r="B5" s="195" t="str">
        <f>IF('Summary Sheet'!C110="","",'Summary Sheet'!C110)</f>
        <v>25-16-206-106-0000</v>
      </c>
      <c r="C5" s="195"/>
      <c r="D5" s="130"/>
      <c r="E5" s="4"/>
      <c r="F5" s="130"/>
      <c r="G5" s="130"/>
      <c r="H5" s="5"/>
    </row>
    <row r="6" spans="1:14" ht="15" customHeight="1" x14ac:dyDescent="0.25">
      <c r="A6" s="75" t="s">
        <v>36</v>
      </c>
      <c r="B6" s="177">
        <v>1</v>
      </c>
      <c r="C6" s="177"/>
      <c r="D6" s="6"/>
      <c r="E6" s="7"/>
    </row>
    <row r="7" spans="1:14" ht="15" customHeight="1" x14ac:dyDescent="0.25">
      <c r="A7" s="7"/>
      <c r="B7" s="196" t="s">
        <v>34</v>
      </c>
      <c r="C7" s="196"/>
      <c r="D7" s="10"/>
    </row>
    <row r="8" spans="1:14" ht="20.100000000000001" customHeight="1" x14ac:dyDescent="0.25">
      <c r="B8" s="11"/>
      <c r="C8" s="11"/>
      <c r="D8" s="12" t="s">
        <v>31</v>
      </c>
      <c r="F8" s="180" t="s">
        <v>32</v>
      </c>
      <c r="G8" s="181"/>
      <c r="H8" s="182"/>
    </row>
    <row r="9" spans="1:14" s="14" customFormat="1" ht="20.100000000000001" customHeight="1" x14ac:dyDescent="0.25">
      <c r="A9" s="197"/>
      <c r="B9" s="197"/>
      <c r="C9" s="197"/>
      <c r="D9" s="13">
        <f>SUM(D27,D46,D65,D84,D103,D122,D141,D160)</f>
        <v>15710</v>
      </c>
      <c r="F9" s="15" t="s">
        <v>28</v>
      </c>
      <c r="G9" s="15" t="s">
        <v>29</v>
      </c>
      <c r="H9" s="15" t="s">
        <v>30</v>
      </c>
      <c r="I9" s="16"/>
      <c r="J9" s="16"/>
      <c r="K9" s="16"/>
      <c r="L9" s="16"/>
      <c r="M9" s="16"/>
      <c r="N9" s="16"/>
    </row>
    <row r="10" spans="1:14" s="17" customFormat="1" ht="23.1" customHeight="1" x14ac:dyDescent="0.3">
      <c r="A10" s="198" t="s">
        <v>51</v>
      </c>
      <c r="B10" s="198"/>
      <c r="C10" s="198"/>
      <c r="D10" s="198"/>
      <c r="F10" s="183" t="s">
        <v>66</v>
      </c>
      <c r="G10" s="184"/>
      <c r="H10" s="185"/>
      <c r="I10" s="18"/>
      <c r="J10" s="18"/>
      <c r="K10" s="18"/>
      <c r="L10" s="18"/>
      <c r="M10" s="19"/>
      <c r="N10" s="20"/>
    </row>
    <row r="11" spans="1:14" s="24" customFormat="1" ht="12.75" customHeight="1" x14ac:dyDescent="0.25">
      <c r="A11" s="21" t="s">
        <v>21</v>
      </c>
      <c r="B11" s="22" t="s">
        <v>22</v>
      </c>
      <c r="C11" s="22" t="s">
        <v>23</v>
      </c>
      <c r="D11" s="23" t="s">
        <v>25</v>
      </c>
      <c r="F11" s="186"/>
      <c r="G11" s="187"/>
      <c r="H11" s="188"/>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78" t="s">
        <v>53</v>
      </c>
      <c r="B27" s="179"/>
      <c r="C27" s="179"/>
      <c r="D27" s="96">
        <f>SUM(Grass_78[Amount])</f>
        <v>0</v>
      </c>
      <c r="F27" s="173" t="s">
        <v>33</v>
      </c>
      <c r="G27" s="174"/>
      <c r="H27" s="174"/>
      <c r="I27" s="35"/>
      <c r="J27" s="35"/>
      <c r="K27" s="35"/>
      <c r="L27" s="35"/>
      <c r="M27" s="36"/>
      <c r="N27" s="37"/>
    </row>
    <row r="28" spans="1:14" s="40" customFormat="1" ht="11.1" customHeight="1" x14ac:dyDescent="0.3">
      <c r="A28" s="38"/>
      <c r="B28" s="38"/>
      <c r="C28" s="38"/>
      <c r="D28" s="39"/>
      <c r="F28" s="173"/>
      <c r="G28" s="174"/>
      <c r="H28" s="174"/>
      <c r="I28" s="35"/>
      <c r="J28" s="35"/>
      <c r="K28" s="35"/>
      <c r="L28" s="35"/>
      <c r="M28" s="36"/>
      <c r="N28" s="37"/>
    </row>
    <row r="29" spans="1:14" s="17" customFormat="1" ht="23.1" customHeight="1" x14ac:dyDescent="0.3">
      <c r="A29" s="191" t="s">
        <v>67</v>
      </c>
      <c r="B29" s="192"/>
      <c r="C29" s="192"/>
      <c r="D29" s="193"/>
      <c r="F29" s="183" t="s">
        <v>52</v>
      </c>
      <c r="G29" s="184"/>
      <c r="H29" s="185"/>
      <c r="I29" s="18"/>
      <c r="J29" s="18"/>
      <c r="K29" s="18"/>
      <c r="L29" s="18"/>
      <c r="M29" s="19"/>
      <c r="N29" s="20"/>
    </row>
    <row r="30" spans="1:14" s="41" customFormat="1" ht="12.75" customHeight="1" x14ac:dyDescent="0.25">
      <c r="A30" s="21" t="s">
        <v>21</v>
      </c>
      <c r="B30" s="22" t="s">
        <v>22</v>
      </c>
      <c r="C30" s="22" t="s">
        <v>23</v>
      </c>
      <c r="D30" s="23" t="s">
        <v>25</v>
      </c>
      <c r="F30" s="186"/>
      <c r="G30" s="187"/>
      <c r="H30" s="188"/>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31"/>
      <c r="J44" s="29"/>
      <c r="K44" s="29"/>
      <c r="L44" s="131"/>
      <c r="M44" s="30"/>
      <c r="N44" s="16"/>
    </row>
    <row r="45" spans="1:14" x14ac:dyDescent="0.3">
      <c r="A45" s="106"/>
      <c r="B45" s="107"/>
      <c r="C45" s="107"/>
      <c r="D45" s="114"/>
      <c r="F45" s="103"/>
      <c r="G45" s="104"/>
      <c r="H45" s="109"/>
      <c r="I45" s="131"/>
      <c r="J45" s="29"/>
      <c r="K45" s="29"/>
      <c r="L45" s="131"/>
      <c r="M45" s="30"/>
      <c r="N45" s="16"/>
    </row>
    <row r="46" spans="1:14" s="34" customFormat="1" x14ac:dyDescent="0.3">
      <c r="A46" s="178" t="s">
        <v>54</v>
      </c>
      <c r="B46" s="179"/>
      <c r="C46" s="179"/>
      <c r="D46" s="96">
        <f>SUM(Tree_78[Amount])</f>
        <v>0</v>
      </c>
      <c r="F46" s="173" t="s">
        <v>33</v>
      </c>
      <c r="G46" s="174"/>
      <c r="H46" s="174"/>
      <c r="I46" s="43"/>
      <c r="J46" s="43"/>
      <c r="K46" s="43"/>
      <c r="L46" s="43"/>
      <c r="M46" s="36"/>
      <c r="N46" s="37"/>
    </row>
    <row r="47" spans="1:14" s="40" customFormat="1" ht="11.1" customHeight="1" x14ac:dyDescent="0.3">
      <c r="A47" s="38"/>
      <c r="B47" s="38"/>
      <c r="C47" s="38"/>
      <c r="D47" s="39"/>
      <c r="F47" s="173"/>
      <c r="G47" s="174"/>
      <c r="H47" s="174"/>
      <c r="I47" s="43"/>
      <c r="J47" s="43"/>
      <c r="K47" s="43"/>
      <c r="L47" s="43"/>
      <c r="M47" s="36"/>
      <c r="N47" s="37"/>
    </row>
    <row r="48" spans="1:14" s="17" customFormat="1" ht="23.1" customHeight="1" x14ac:dyDescent="0.3">
      <c r="A48" s="191" t="s">
        <v>68</v>
      </c>
      <c r="B48" s="192"/>
      <c r="C48" s="192"/>
      <c r="D48" s="193"/>
      <c r="F48" s="183" t="s">
        <v>55</v>
      </c>
      <c r="G48" s="184"/>
      <c r="H48" s="185"/>
      <c r="I48" s="44"/>
      <c r="J48" s="44"/>
      <c r="K48" s="44"/>
      <c r="L48" s="44"/>
      <c r="M48" s="19"/>
      <c r="N48" s="20"/>
    </row>
    <row r="49" spans="1:14" s="41" customFormat="1" ht="12.75" customHeight="1" x14ac:dyDescent="0.25">
      <c r="A49" s="21" t="s">
        <v>21</v>
      </c>
      <c r="B49" s="22" t="s">
        <v>22</v>
      </c>
      <c r="C49" s="22" t="s">
        <v>23</v>
      </c>
      <c r="D49" s="23" t="s">
        <v>25</v>
      </c>
      <c r="F49" s="186"/>
      <c r="G49" s="187"/>
      <c r="H49" s="188"/>
      <c r="I49" s="131"/>
      <c r="J49" s="131"/>
      <c r="K49" s="131"/>
      <c r="L49" s="131"/>
      <c r="M49" s="30"/>
      <c r="N49" s="42"/>
    </row>
    <row r="50" spans="1:14" x14ac:dyDescent="0.3">
      <c r="A50" s="100"/>
      <c r="B50" s="101"/>
      <c r="C50" s="101"/>
      <c r="D50" s="112"/>
      <c r="F50" s="103"/>
      <c r="G50" s="104"/>
      <c r="H50" s="109"/>
      <c r="I50" s="131"/>
      <c r="J50" s="131"/>
      <c r="K50" s="131"/>
      <c r="L50" s="131"/>
      <c r="M50" s="30"/>
      <c r="N50" s="16"/>
    </row>
    <row r="51" spans="1:14" x14ac:dyDescent="0.3">
      <c r="A51" s="106"/>
      <c r="B51" s="107"/>
      <c r="C51" s="107"/>
      <c r="D51" s="113"/>
      <c r="F51" s="103"/>
      <c r="G51" s="104"/>
      <c r="H51" s="109"/>
      <c r="I51" s="131"/>
      <c r="J51" s="131"/>
      <c r="K51" s="131"/>
      <c r="L51" s="131"/>
      <c r="M51" s="30"/>
      <c r="N51" s="16"/>
    </row>
    <row r="52" spans="1:14" x14ac:dyDescent="0.3">
      <c r="A52" s="106"/>
      <c r="B52" s="107"/>
      <c r="C52" s="107"/>
      <c r="D52" s="114"/>
      <c r="F52" s="103"/>
      <c r="H52" s="109"/>
      <c r="I52" s="131"/>
      <c r="J52" s="131"/>
      <c r="K52" s="131"/>
      <c r="L52" s="131"/>
      <c r="M52" s="30"/>
      <c r="N52" s="16"/>
    </row>
    <row r="53" spans="1:14" x14ac:dyDescent="0.3">
      <c r="A53" s="106"/>
      <c r="B53" s="107"/>
      <c r="C53" s="107"/>
      <c r="D53" s="113"/>
      <c r="F53" s="103"/>
      <c r="G53" s="104"/>
      <c r="H53" s="109"/>
      <c r="I53" s="131"/>
      <c r="J53" s="131"/>
      <c r="K53" s="131"/>
      <c r="L53" s="131"/>
      <c r="M53" s="30"/>
      <c r="N53" s="16"/>
    </row>
    <row r="54" spans="1:14" x14ac:dyDescent="0.3">
      <c r="A54" s="106"/>
      <c r="B54" s="107"/>
      <c r="C54" s="107"/>
      <c r="D54" s="114"/>
      <c r="F54" s="103"/>
      <c r="G54" s="104"/>
      <c r="H54" s="109"/>
      <c r="I54" s="131"/>
      <c r="J54" s="131"/>
      <c r="K54" s="131"/>
      <c r="L54" s="131"/>
      <c r="M54" s="30"/>
      <c r="N54" s="16"/>
    </row>
    <row r="55" spans="1:14" x14ac:dyDescent="0.3">
      <c r="A55" s="106"/>
      <c r="B55" s="107"/>
      <c r="C55" s="107"/>
      <c r="D55" s="113"/>
      <c r="F55" s="103"/>
      <c r="G55" s="104"/>
      <c r="H55" s="109"/>
      <c r="I55" s="131"/>
      <c r="J55" s="131"/>
      <c r="K55" s="131"/>
      <c r="L55" s="131"/>
      <c r="M55" s="30"/>
      <c r="N55" s="16"/>
    </row>
    <row r="56" spans="1:14" x14ac:dyDescent="0.3">
      <c r="A56" s="106"/>
      <c r="B56" s="107"/>
      <c r="C56" s="107"/>
      <c r="D56" s="114"/>
      <c r="F56" s="103"/>
      <c r="G56" s="104"/>
      <c r="H56" s="109"/>
      <c r="I56" s="131"/>
      <c r="J56" s="131"/>
      <c r="K56" s="131"/>
      <c r="L56" s="131"/>
      <c r="M56" s="30"/>
      <c r="N56" s="16"/>
    </row>
    <row r="57" spans="1:14" x14ac:dyDescent="0.3">
      <c r="A57" s="106"/>
      <c r="B57" s="107"/>
      <c r="C57" s="107"/>
      <c r="D57" s="113"/>
      <c r="F57" s="103"/>
      <c r="G57" s="104"/>
      <c r="H57" s="109"/>
      <c r="I57" s="131"/>
      <c r="J57" s="131"/>
      <c r="K57" s="131"/>
      <c r="L57" s="131"/>
      <c r="M57" s="30"/>
      <c r="N57" s="16"/>
    </row>
    <row r="58" spans="1:14" x14ac:dyDescent="0.3">
      <c r="A58" s="106"/>
      <c r="B58" s="107"/>
      <c r="C58" s="107"/>
      <c r="D58" s="114"/>
      <c r="F58" s="103"/>
      <c r="G58" s="104"/>
      <c r="H58" s="109"/>
      <c r="I58" s="131"/>
      <c r="J58" s="131"/>
      <c r="K58" s="131"/>
      <c r="L58" s="131"/>
      <c r="M58" s="30"/>
      <c r="N58" s="16"/>
    </row>
    <row r="59" spans="1:14" x14ac:dyDescent="0.3">
      <c r="A59" s="106"/>
      <c r="B59" s="107"/>
      <c r="C59" s="107"/>
      <c r="D59" s="113"/>
      <c r="F59" s="103"/>
      <c r="G59" s="104"/>
      <c r="H59" s="109"/>
      <c r="I59" s="131"/>
      <c r="J59" s="190"/>
      <c r="K59" s="190"/>
      <c r="L59" s="131"/>
      <c r="M59" s="30"/>
      <c r="N59" s="16"/>
    </row>
    <row r="60" spans="1:14" x14ac:dyDescent="0.3">
      <c r="A60" s="106"/>
      <c r="B60" s="107"/>
      <c r="C60" s="107"/>
      <c r="D60" s="114"/>
      <c r="F60" s="103"/>
      <c r="G60" s="104"/>
      <c r="H60" s="109"/>
      <c r="I60" s="189"/>
      <c r="J60" s="189"/>
      <c r="K60" s="189"/>
      <c r="L60" s="189"/>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78" t="s">
        <v>56</v>
      </c>
      <c r="B65" s="179"/>
      <c r="C65" s="179"/>
      <c r="D65" s="96">
        <f>SUM(Pest_78[Amount])</f>
        <v>0</v>
      </c>
      <c r="F65" s="173" t="s">
        <v>33</v>
      </c>
      <c r="G65" s="174"/>
      <c r="H65" s="174"/>
    </row>
    <row r="66" spans="1:8" x14ac:dyDescent="0.3">
      <c r="F66" s="173"/>
      <c r="G66" s="174"/>
      <c r="H66" s="174"/>
    </row>
    <row r="67" spans="1:8" ht="17.399999999999999" x14ac:dyDescent="0.3">
      <c r="A67" s="198" t="s">
        <v>69</v>
      </c>
      <c r="B67" s="198"/>
      <c r="C67" s="198"/>
      <c r="D67" s="198"/>
      <c r="E67" s="17"/>
      <c r="F67" s="183" t="s">
        <v>57</v>
      </c>
      <c r="G67" s="184"/>
      <c r="H67" s="185"/>
    </row>
    <row r="68" spans="1:8" x14ac:dyDescent="0.3">
      <c r="A68" s="21" t="s">
        <v>21</v>
      </c>
      <c r="B68" s="22" t="s">
        <v>22</v>
      </c>
      <c r="C68" s="22" t="s">
        <v>23</v>
      </c>
      <c r="D68" s="23" t="s">
        <v>25</v>
      </c>
      <c r="E68" s="24"/>
      <c r="F68" s="186"/>
      <c r="G68" s="187"/>
      <c r="H68" s="188"/>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78" t="s">
        <v>58</v>
      </c>
      <c r="B84" s="179"/>
      <c r="C84" s="179"/>
      <c r="D84" s="96">
        <f>SUM(Garbage_78[Amount])</f>
        <v>0</v>
      </c>
      <c r="E84" s="34"/>
      <c r="F84" s="173" t="s">
        <v>33</v>
      </c>
      <c r="G84" s="174"/>
      <c r="H84" s="174"/>
    </row>
    <row r="85" spans="1:8" x14ac:dyDescent="0.3">
      <c r="A85" s="38"/>
      <c r="B85" s="38"/>
      <c r="C85" s="38"/>
      <c r="D85" s="39"/>
      <c r="E85" s="40"/>
      <c r="F85" s="173"/>
      <c r="G85" s="174"/>
      <c r="H85" s="174"/>
    </row>
    <row r="86" spans="1:8" ht="17.399999999999999" x14ac:dyDescent="0.3">
      <c r="A86" s="191" t="s">
        <v>59</v>
      </c>
      <c r="B86" s="192"/>
      <c r="C86" s="192"/>
      <c r="D86" s="193"/>
      <c r="E86" s="17"/>
      <c r="F86" s="183" t="s">
        <v>60</v>
      </c>
      <c r="G86" s="184"/>
      <c r="H86" s="185"/>
    </row>
    <row r="87" spans="1:8" x14ac:dyDescent="0.3">
      <c r="A87" s="21" t="s">
        <v>21</v>
      </c>
      <c r="B87" s="22" t="s">
        <v>22</v>
      </c>
      <c r="C87" s="22" t="s">
        <v>23</v>
      </c>
      <c r="D87" s="23" t="s">
        <v>25</v>
      </c>
      <c r="E87" s="41"/>
      <c r="F87" s="186"/>
      <c r="G87" s="187"/>
      <c r="H87" s="188"/>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78" t="s">
        <v>61</v>
      </c>
      <c r="B103" s="179"/>
      <c r="C103" s="179"/>
      <c r="D103" s="96">
        <f>SUM(Boarding_78[Amount])</f>
        <v>0</v>
      </c>
      <c r="E103" s="34"/>
      <c r="F103" s="173" t="s">
        <v>33</v>
      </c>
      <c r="G103" s="174"/>
      <c r="H103" s="174"/>
    </row>
    <row r="104" spans="1:8" x14ac:dyDescent="0.3">
      <c r="A104" s="38"/>
      <c r="B104" s="38"/>
      <c r="C104" s="38"/>
      <c r="D104" s="39"/>
      <c r="E104" s="40"/>
      <c r="F104" s="173"/>
      <c r="G104" s="174"/>
      <c r="H104" s="174"/>
    </row>
    <row r="105" spans="1:8" ht="17.399999999999999" x14ac:dyDescent="0.3">
      <c r="A105" s="191" t="s">
        <v>70</v>
      </c>
      <c r="B105" s="192"/>
      <c r="C105" s="192"/>
      <c r="D105" s="193"/>
      <c r="E105" s="17"/>
      <c r="F105" s="183" t="s">
        <v>62</v>
      </c>
      <c r="G105" s="184"/>
      <c r="H105" s="185"/>
    </row>
    <row r="106" spans="1:8" x14ac:dyDescent="0.3">
      <c r="A106" s="21" t="s">
        <v>21</v>
      </c>
      <c r="B106" s="22" t="s">
        <v>22</v>
      </c>
      <c r="C106" s="22" t="s">
        <v>23</v>
      </c>
      <c r="D106" s="23" t="s">
        <v>25</v>
      </c>
      <c r="E106" s="41"/>
      <c r="F106" s="186"/>
      <c r="G106" s="187"/>
      <c r="H106" s="188"/>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78" t="s">
        <v>63</v>
      </c>
      <c r="B122" s="179"/>
      <c r="C122" s="179"/>
      <c r="D122" s="96">
        <f>SUM(Fence_78[Amount])</f>
        <v>0</v>
      </c>
      <c r="E122" s="34"/>
      <c r="F122" s="173" t="s">
        <v>33</v>
      </c>
      <c r="G122" s="174"/>
      <c r="H122" s="174"/>
    </row>
    <row r="123" spans="1:8" x14ac:dyDescent="0.3">
      <c r="F123" s="173"/>
      <c r="G123" s="174"/>
      <c r="H123" s="174"/>
    </row>
    <row r="124" spans="1:8" ht="17.399999999999999" x14ac:dyDescent="0.3">
      <c r="A124" s="191" t="s">
        <v>26</v>
      </c>
      <c r="B124" s="192"/>
      <c r="C124" s="192"/>
      <c r="D124" s="193"/>
      <c r="E124" s="17"/>
      <c r="F124" s="183" t="s">
        <v>11</v>
      </c>
      <c r="G124" s="184"/>
      <c r="H124" s="185"/>
    </row>
    <row r="125" spans="1:8" x14ac:dyDescent="0.3">
      <c r="A125" s="21" t="s">
        <v>21</v>
      </c>
      <c r="B125" s="22" t="s">
        <v>22</v>
      </c>
      <c r="C125" s="22" t="s">
        <v>23</v>
      </c>
      <c r="D125" s="23" t="s">
        <v>25</v>
      </c>
      <c r="E125" s="41"/>
      <c r="F125" s="186"/>
      <c r="G125" s="187"/>
      <c r="H125" s="188"/>
    </row>
    <row r="126" spans="1:8" x14ac:dyDescent="0.3">
      <c r="A126" s="100"/>
      <c r="B126" s="101"/>
      <c r="C126" s="101"/>
      <c r="D126" s="112">
        <v>15710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78" t="s">
        <v>27</v>
      </c>
      <c r="B141" s="179"/>
      <c r="C141" s="179"/>
      <c r="D141" s="96">
        <f>SUM(Demolition_78[Amount])</f>
        <v>15710</v>
      </c>
      <c r="E141" s="34"/>
      <c r="F141" s="173" t="s">
        <v>33</v>
      </c>
      <c r="G141" s="174"/>
      <c r="H141" s="174"/>
    </row>
    <row r="142" spans="1:8" x14ac:dyDescent="0.3">
      <c r="A142" s="38"/>
      <c r="B142" s="38"/>
      <c r="C142" s="38"/>
      <c r="D142" s="39"/>
      <c r="E142" s="40"/>
      <c r="F142" s="173"/>
      <c r="G142" s="174"/>
      <c r="H142" s="174"/>
    </row>
    <row r="143" spans="1:8" ht="17.399999999999999" x14ac:dyDescent="0.3">
      <c r="A143" s="191" t="s">
        <v>64</v>
      </c>
      <c r="B143" s="192"/>
      <c r="C143" s="192"/>
      <c r="D143" s="193"/>
      <c r="E143" s="17"/>
      <c r="F143" s="183" t="s">
        <v>44</v>
      </c>
      <c r="G143" s="184"/>
      <c r="H143" s="185"/>
    </row>
    <row r="144" spans="1:8" x14ac:dyDescent="0.3">
      <c r="A144" s="21" t="s">
        <v>21</v>
      </c>
      <c r="B144" s="22" t="s">
        <v>22</v>
      </c>
      <c r="C144" s="22" t="s">
        <v>23</v>
      </c>
      <c r="D144" s="23" t="s">
        <v>25</v>
      </c>
      <c r="E144" s="41"/>
      <c r="F144" s="186"/>
      <c r="G144" s="187"/>
      <c r="H144" s="188"/>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78" t="s">
        <v>65</v>
      </c>
      <c r="B160" s="179"/>
      <c r="C160" s="179"/>
      <c r="D160" s="96">
        <f>SUM(Rehab_78[Amount])</f>
        <v>0</v>
      </c>
      <c r="E160" s="34"/>
      <c r="F160" s="173" t="s">
        <v>33</v>
      </c>
      <c r="G160" s="174"/>
      <c r="H160" s="174"/>
    </row>
    <row r="161" spans="6:8" x14ac:dyDescent="0.3">
      <c r="F161" s="173"/>
      <c r="G161" s="174"/>
      <c r="H161" s="174"/>
    </row>
  </sheetData>
  <sheetProtection algorithmName="SHA-512" hashValue="UfMuaQZKFOFb7Ly08CdyPrqJvBzWSDkyHDT4a9Wtj3111hDn76mB3D2jo3eEp3K9PiuDe+S7K5r45/8aW23GzA==" saltValue="t94zPvmmvkc3GvNMPgfCLA=="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N161"/>
  <sheetViews>
    <sheetView showGridLines="0" zoomScaleNormal="100" workbookViewId="0">
      <pane ySplit="9" topLeftCell="A118" activePane="bottomLeft" state="frozen"/>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5" t="s">
        <v>24</v>
      </c>
      <c r="B1" s="175"/>
      <c r="C1" s="175"/>
      <c r="D1" s="175"/>
      <c r="E1" s="1"/>
      <c r="F1" s="2"/>
      <c r="G1" s="2"/>
      <c r="H1" s="1"/>
    </row>
    <row r="2" spans="1:14" ht="24.9" customHeight="1" x14ac:dyDescent="0.3">
      <c r="A2" s="176" t="s">
        <v>71</v>
      </c>
      <c r="B2" s="176"/>
      <c r="C2" s="176"/>
      <c r="D2" s="176"/>
      <c r="E2" s="4"/>
      <c r="F2" s="90"/>
      <c r="G2" s="90"/>
      <c r="H2" s="5"/>
    </row>
    <row r="3" spans="1:14" ht="31.5" customHeight="1" x14ac:dyDescent="0.3">
      <c r="A3" s="176"/>
      <c r="B3" s="176"/>
      <c r="C3" s="176"/>
      <c r="D3" s="176"/>
      <c r="E3" s="4"/>
      <c r="F3" s="90"/>
      <c r="G3" s="90"/>
      <c r="H3" s="5"/>
    </row>
    <row r="4" spans="1:14" ht="15" customHeight="1" x14ac:dyDescent="0.25">
      <c r="A4" s="75" t="s">
        <v>19</v>
      </c>
      <c r="B4" s="194" t="str">
        <f>IF('Summary Sheet'!B39="","",'Summary Sheet'!B39)</f>
        <v>1302 W 103RD ST</v>
      </c>
      <c r="C4" s="194"/>
      <c r="D4" s="90"/>
      <c r="E4" s="4"/>
      <c r="F4" s="90"/>
      <c r="G4" s="90"/>
      <c r="H4" s="5"/>
    </row>
    <row r="5" spans="1:14" ht="15" customHeight="1" x14ac:dyDescent="0.25">
      <c r="A5" s="75" t="s">
        <v>20</v>
      </c>
      <c r="B5" s="195" t="str">
        <f>IF('Summary Sheet'!C39="","",'Summary Sheet'!C39)</f>
        <v/>
      </c>
      <c r="C5" s="195"/>
      <c r="D5" s="90"/>
      <c r="E5" s="4"/>
      <c r="F5" s="90"/>
      <c r="G5" s="90"/>
      <c r="H5" s="5"/>
    </row>
    <row r="6" spans="1:14" ht="15" customHeight="1" x14ac:dyDescent="0.25">
      <c r="A6" s="75" t="s">
        <v>36</v>
      </c>
      <c r="B6" s="177"/>
      <c r="C6" s="177"/>
      <c r="D6" s="6"/>
      <c r="E6" s="7"/>
    </row>
    <row r="7" spans="1:14" ht="15" customHeight="1" x14ac:dyDescent="0.25">
      <c r="A7" s="7"/>
      <c r="B7" s="196" t="s">
        <v>34</v>
      </c>
      <c r="C7" s="196"/>
      <c r="D7" s="10"/>
    </row>
    <row r="8" spans="1:14" ht="20.100000000000001" customHeight="1" x14ac:dyDescent="0.25">
      <c r="B8" s="11"/>
      <c r="C8" s="11"/>
      <c r="D8" s="12" t="s">
        <v>31</v>
      </c>
      <c r="F8" s="180" t="s">
        <v>32</v>
      </c>
      <c r="G8" s="181"/>
      <c r="H8" s="182"/>
    </row>
    <row r="9" spans="1:14" s="14" customFormat="1" ht="20.100000000000001" customHeight="1" x14ac:dyDescent="0.25">
      <c r="A9" s="197"/>
      <c r="B9" s="197"/>
      <c r="C9" s="197"/>
      <c r="D9" s="13">
        <f>SUM(D27,D46,D65,D84,D103,D122,D141,D160)</f>
        <v>98270</v>
      </c>
      <c r="F9" s="15" t="s">
        <v>28</v>
      </c>
      <c r="G9" s="15" t="s">
        <v>29</v>
      </c>
      <c r="H9" s="15" t="s">
        <v>30</v>
      </c>
      <c r="I9" s="16"/>
      <c r="J9" s="16"/>
      <c r="K9" s="16"/>
      <c r="L9" s="16"/>
      <c r="M9" s="16"/>
      <c r="N9" s="16"/>
    </row>
    <row r="10" spans="1:14" s="17" customFormat="1" ht="23.1" customHeight="1" x14ac:dyDescent="0.3">
      <c r="A10" s="198" t="s">
        <v>51</v>
      </c>
      <c r="B10" s="198"/>
      <c r="C10" s="198"/>
      <c r="D10" s="198"/>
      <c r="F10" s="183" t="s">
        <v>66</v>
      </c>
      <c r="G10" s="184"/>
      <c r="H10" s="185"/>
      <c r="I10" s="18"/>
      <c r="J10" s="18"/>
      <c r="K10" s="18"/>
      <c r="L10" s="18"/>
      <c r="M10" s="19"/>
      <c r="N10" s="20"/>
    </row>
    <row r="11" spans="1:14" s="24" customFormat="1" ht="12.75" customHeight="1" x14ac:dyDescent="0.25">
      <c r="A11" s="21" t="s">
        <v>21</v>
      </c>
      <c r="B11" s="22" t="s">
        <v>22</v>
      </c>
      <c r="C11" s="22" t="s">
        <v>23</v>
      </c>
      <c r="D11" s="23" t="s">
        <v>25</v>
      </c>
      <c r="F11" s="186"/>
      <c r="G11" s="187"/>
      <c r="H11" s="188"/>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78" t="s">
        <v>53</v>
      </c>
      <c r="B27" s="179"/>
      <c r="C27" s="179"/>
      <c r="D27" s="96">
        <f>SUM(Grass_7[Amount])</f>
        <v>0</v>
      </c>
      <c r="F27" s="173" t="s">
        <v>33</v>
      </c>
      <c r="G27" s="174"/>
      <c r="H27" s="174"/>
      <c r="I27" s="35"/>
      <c r="J27" s="35"/>
      <c r="K27" s="35"/>
      <c r="L27" s="35"/>
      <c r="M27" s="36"/>
      <c r="N27" s="37"/>
    </row>
    <row r="28" spans="1:14" s="40" customFormat="1" ht="11.1" customHeight="1" x14ac:dyDescent="0.3">
      <c r="A28" s="38"/>
      <c r="B28" s="38"/>
      <c r="C28" s="38"/>
      <c r="D28" s="39"/>
      <c r="F28" s="173"/>
      <c r="G28" s="174"/>
      <c r="H28" s="174"/>
      <c r="I28" s="35"/>
      <c r="J28" s="35"/>
      <c r="K28" s="35"/>
      <c r="L28" s="35"/>
      <c r="M28" s="36"/>
      <c r="N28" s="37"/>
    </row>
    <row r="29" spans="1:14" s="17" customFormat="1" ht="23.1" customHeight="1" x14ac:dyDescent="0.3">
      <c r="A29" s="191" t="s">
        <v>67</v>
      </c>
      <c r="B29" s="192"/>
      <c r="C29" s="192"/>
      <c r="D29" s="193"/>
      <c r="F29" s="183" t="s">
        <v>52</v>
      </c>
      <c r="G29" s="184"/>
      <c r="H29" s="185"/>
      <c r="I29" s="18"/>
      <c r="J29" s="18"/>
      <c r="K29" s="18"/>
      <c r="L29" s="18"/>
      <c r="M29" s="19"/>
      <c r="N29" s="20"/>
    </row>
    <row r="30" spans="1:14" s="41" customFormat="1" ht="12.75" customHeight="1" x14ac:dyDescent="0.25">
      <c r="A30" s="21" t="s">
        <v>21</v>
      </c>
      <c r="B30" s="22" t="s">
        <v>22</v>
      </c>
      <c r="C30" s="22" t="s">
        <v>23</v>
      </c>
      <c r="D30" s="23" t="s">
        <v>25</v>
      </c>
      <c r="F30" s="186"/>
      <c r="G30" s="187"/>
      <c r="H30" s="188"/>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89"/>
      <c r="J44" s="29"/>
      <c r="K44" s="29"/>
      <c r="L44" s="89"/>
      <c r="M44" s="30"/>
      <c r="N44" s="16"/>
    </row>
    <row r="45" spans="1:14" x14ac:dyDescent="0.3">
      <c r="A45" s="106"/>
      <c r="B45" s="107"/>
      <c r="C45" s="107"/>
      <c r="D45" s="114"/>
      <c r="F45" s="103"/>
      <c r="G45" s="104"/>
      <c r="H45" s="109"/>
      <c r="I45" s="89"/>
      <c r="J45" s="29"/>
      <c r="K45" s="29"/>
      <c r="L45" s="89"/>
      <c r="M45" s="30"/>
      <c r="N45" s="16"/>
    </row>
    <row r="46" spans="1:14" s="34" customFormat="1" x14ac:dyDescent="0.3">
      <c r="A46" s="178" t="s">
        <v>54</v>
      </c>
      <c r="B46" s="179"/>
      <c r="C46" s="179"/>
      <c r="D46" s="96">
        <f>SUM(Tree_7[Amount])</f>
        <v>0</v>
      </c>
      <c r="F46" s="173" t="s">
        <v>33</v>
      </c>
      <c r="G46" s="174"/>
      <c r="H46" s="174"/>
      <c r="I46" s="43"/>
      <c r="J46" s="43"/>
      <c r="K46" s="43"/>
      <c r="L46" s="43"/>
      <c r="M46" s="36"/>
      <c r="N46" s="37"/>
    </row>
    <row r="47" spans="1:14" s="40" customFormat="1" ht="11.1" customHeight="1" x14ac:dyDescent="0.3">
      <c r="A47" s="38"/>
      <c r="B47" s="38"/>
      <c r="C47" s="38"/>
      <c r="D47" s="39"/>
      <c r="F47" s="173"/>
      <c r="G47" s="174"/>
      <c r="H47" s="174"/>
      <c r="I47" s="43"/>
      <c r="J47" s="43"/>
      <c r="K47" s="43"/>
      <c r="L47" s="43"/>
      <c r="M47" s="36"/>
      <c r="N47" s="37"/>
    </row>
    <row r="48" spans="1:14" s="17" customFormat="1" ht="23.1" customHeight="1" x14ac:dyDescent="0.3">
      <c r="A48" s="191" t="s">
        <v>68</v>
      </c>
      <c r="B48" s="192"/>
      <c r="C48" s="192"/>
      <c r="D48" s="193"/>
      <c r="F48" s="183" t="s">
        <v>55</v>
      </c>
      <c r="G48" s="184"/>
      <c r="H48" s="185"/>
      <c r="I48" s="44"/>
      <c r="J48" s="44"/>
      <c r="K48" s="44"/>
      <c r="L48" s="44"/>
      <c r="M48" s="19"/>
      <c r="N48" s="20"/>
    </row>
    <row r="49" spans="1:14" s="41" customFormat="1" ht="12.75" customHeight="1" x14ac:dyDescent="0.25">
      <c r="A49" s="21" t="s">
        <v>21</v>
      </c>
      <c r="B49" s="22" t="s">
        <v>22</v>
      </c>
      <c r="C49" s="22" t="s">
        <v>23</v>
      </c>
      <c r="D49" s="23" t="s">
        <v>25</v>
      </c>
      <c r="F49" s="186"/>
      <c r="G49" s="187"/>
      <c r="H49" s="188"/>
      <c r="I49" s="89"/>
      <c r="J49" s="89"/>
      <c r="K49" s="89"/>
      <c r="L49" s="89"/>
      <c r="M49" s="30"/>
      <c r="N49" s="42"/>
    </row>
    <row r="50" spans="1:14" x14ac:dyDescent="0.3">
      <c r="A50" s="100"/>
      <c r="B50" s="101"/>
      <c r="C50" s="101"/>
      <c r="D50" s="112"/>
      <c r="F50" s="103"/>
      <c r="G50" s="104"/>
      <c r="H50" s="109"/>
      <c r="I50" s="89"/>
      <c r="J50" s="89"/>
      <c r="K50" s="89"/>
      <c r="L50" s="89"/>
      <c r="M50" s="30"/>
      <c r="N50" s="16"/>
    </row>
    <row r="51" spans="1:14" x14ac:dyDescent="0.3">
      <c r="A51" s="106"/>
      <c r="B51" s="107"/>
      <c r="C51" s="107"/>
      <c r="D51" s="113"/>
      <c r="F51" s="103"/>
      <c r="G51" s="104"/>
      <c r="H51" s="109"/>
      <c r="I51" s="89"/>
      <c r="J51" s="89"/>
      <c r="K51" s="89"/>
      <c r="L51" s="89"/>
      <c r="M51" s="30"/>
      <c r="N51" s="16"/>
    </row>
    <row r="52" spans="1:14" x14ac:dyDescent="0.3">
      <c r="A52" s="106"/>
      <c r="B52" s="107"/>
      <c r="C52" s="107"/>
      <c r="D52" s="114"/>
      <c r="F52" s="103"/>
      <c r="H52" s="109"/>
      <c r="I52" s="89"/>
      <c r="J52" s="89"/>
      <c r="K52" s="89"/>
      <c r="L52" s="89"/>
      <c r="M52" s="30"/>
      <c r="N52" s="16"/>
    </row>
    <row r="53" spans="1:14" x14ac:dyDescent="0.3">
      <c r="A53" s="106"/>
      <c r="B53" s="107"/>
      <c r="C53" s="107"/>
      <c r="D53" s="113"/>
      <c r="F53" s="103"/>
      <c r="G53" s="104"/>
      <c r="H53" s="109"/>
      <c r="I53" s="89"/>
      <c r="J53" s="89"/>
      <c r="K53" s="89"/>
      <c r="L53" s="89"/>
      <c r="M53" s="30"/>
      <c r="N53" s="16"/>
    </row>
    <row r="54" spans="1:14" x14ac:dyDescent="0.3">
      <c r="A54" s="106"/>
      <c r="B54" s="107"/>
      <c r="C54" s="107"/>
      <c r="D54" s="114"/>
      <c r="F54" s="103"/>
      <c r="G54" s="104"/>
      <c r="H54" s="109"/>
      <c r="I54" s="89"/>
      <c r="J54" s="89"/>
      <c r="K54" s="89"/>
      <c r="L54" s="89"/>
      <c r="M54" s="30"/>
      <c r="N54" s="16"/>
    </row>
    <row r="55" spans="1:14" x14ac:dyDescent="0.3">
      <c r="A55" s="106"/>
      <c r="B55" s="107"/>
      <c r="C55" s="107"/>
      <c r="D55" s="113"/>
      <c r="F55" s="103"/>
      <c r="G55" s="104"/>
      <c r="H55" s="109"/>
      <c r="I55" s="89"/>
      <c r="J55" s="89"/>
      <c r="K55" s="89"/>
      <c r="L55" s="89"/>
      <c r="M55" s="30"/>
      <c r="N55" s="16"/>
    </row>
    <row r="56" spans="1:14" x14ac:dyDescent="0.3">
      <c r="A56" s="106"/>
      <c r="B56" s="107"/>
      <c r="C56" s="107"/>
      <c r="D56" s="114"/>
      <c r="F56" s="103"/>
      <c r="G56" s="104"/>
      <c r="H56" s="109"/>
      <c r="I56" s="89"/>
      <c r="J56" s="89"/>
      <c r="K56" s="89"/>
      <c r="L56" s="89"/>
      <c r="M56" s="30"/>
      <c r="N56" s="16"/>
    </row>
    <row r="57" spans="1:14" x14ac:dyDescent="0.3">
      <c r="A57" s="106"/>
      <c r="B57" s="107"/>
      <c r="C57" s="107"/>
      <c r="D57" s="113"/>
      <c r="F57" s="103"/>
      <c r="G57" s="104"/>
      <c r="H57" s="109"/>
      <c r="I57" s="89"/>
      <c r="J57" s="89"/>
      <c r="K57" s="89"/>
      <c r="L57" s="89"/>
      <c r="M57" s="30"/>
      <c r="N57" s="16"/>
    </row>
    <row r="58" spans="1:14" x14ac:dyDescent="0.3">
      <c r="A58" s="106"/>
      <c r="B58" s="107"/>
      <c r="C58" s="107"/>
      <c r="D58" s="114"/>
      <c r="F58" s="103"/>
      <c r="G58" s="104"/>
      <c r="H58" s="109"/>
      <c r="I58" s="89"/>
      <c r="J58" s="89"/>
      <c r="K58" s="89"/>
      <c r="L58" s="89"/>
      <c r="M58" s="30"/>
      <c r="N58" s="16"/>
    </row>
    <row r="59" spans="1:14" x14ac:dyDescent="0.3">
      <c r="A59" s="106"/>
      <c r="B59" s="107"/>
      <c r="C59" s="107"/>
      <c r="D59" s="113"/>
      <c r="F59" s="103"/>
      <c r="G59" s="104"/>
      <c r="H59" s="109"/>
      <c r="I59" s="89"/>
      <c r="J59" s="190"/>
      <c r="K59" s="190"/>
      <c r="L59" s="89"/>
      <c r="M59" s="30"/>
      <c r="N59" s="16"/>
    </row>
    <row r="60" spans="1:14" x14ac:dyDescent="0.3">
      <c r="A60" s="106"/>
      <c r="B60" s="107"/>
      <c r="C60" s="107"/>
      <c r="D60" s="114"/>
      <c r="F60" s="103"/>
      <c r="G60" s="104"/>
      <c r="H60" s="109"/>
      <c r="I60" s="189"/>
      <c r="J60" s="189"/>
      <c r="K60" s="189"/>
      <c r="L60" s="189"/>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78" t="s">
        <v>56</v>
      </c>
      <c r="B65" s="179"/>
      <c r="C65" s="179"/>
      <c r="D65" s="96">
        <f>SUM(Pest_7[Amount])</f>
        <v>0</v>
      </c>
      <c r="F65" s="173" t="s">
        <v>33</v>
      </c>
      <c r="G65" s="174"/>
      <c r="H65" s="174"/>
    </row>
    <row r="66" spans="1:8" x14ac:dyDescent="0.3">
      <c r="F66" s="173"/>
      <c r="G66" s="174"/>
      <c r="H66" s="174"/>
    </row>
    <row r="67" spans="1:8" ht="17.399999999999999" x14ac:dyDescent="0.3">
      <c r="A67" s="198" t="s">
        <v>69</v>
      </c>
      <c r="B67" s="198"/>
      <c r="C67" s="198"/>
      <c r="D67" s="198"/>
      <c r="E67" s="17"/>
      <c r="F67" s="183" t="s">
        <v>57</v>
      </c>
      <c r="G67" s="184"/>
      <c r="H67" s="185"/>
    </row>
    <row r="68" spans="1:8" x14ac:dyDescent="0.3">
      <c r="A68" s="21" t="s">
        <v>21</v>
      </c>
      <c r="B68" s="22" t="s">
        <v>22</v>
      </c>
      <c r="C68" s="22" t="s">
        <v>23</v>
      </c>
      <c r="D68" s="23" t="s">
        <v>25</v>
      </c>
      <c r="E68" s="24"/>
      <c r="F68" s="186"/>
      <c r="G68" s="187"/>
      <c r="H68" s="188"/>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78" t="s">
        <v>58</v>
      </c>
      <c r="B84" s="179"/>
      <c r="C84" s="179"/>
      <c r="D84" s="96">
        <f>SUM(Garbage_7[Amount])</f>
        <v>0</v>
      </c>
      <c r="E84" s="34"/>
      <c r="F84" s="173" t="s">
        <v>33</v>
      </c>
      <c r="G84" s="174"/>
      <c r="H84" s="174"/>
    </row>
    <row r="85" spans="1:8" x14ac:dyDescent="0.3">
      <c r="A85" s="38"/>
      <c r="B85" s="38"/>
      <c r="C85" s="38"/>
      <c r="D85" s="39"/>
      <c r="E85" s="40"/>
      <c r="F85" s="173"/>
      <c r="G85" s="174"/>
      <c r="H85" s="174"/>
    </row>
    <row r="86" spans="1:8" ht="17.399999999999999" x14ac:dyDescent="0.3">
      <c r="A86" s="191" t="s">
        <v>59</v>
      </c>
      <c r="B86" s="192"/>
      <c r="C86" s="192"/>
      <c r="D86" s="193"/>
      <c r="E86" s="17"/>
      <c r="F86" s="183" t="s">
        <v>60</v>
      </c>
      <c r="G86" s="184"/>
      <c r="H86" s="185"/>
    </row>
    <row r="87" spans="1:8" x14ac:dyDescent="0.3">
      <c r="A87" s="21" t="s">
        <v>21</v>
      </c>
      <c r="B87" s="22" t="s">
        <v>22</v>
      </c>
      <c r="C87" s="22" t="s">
        <v>23</v>
      </c>
      <c r="D87" s="23" t="s">
        <v>25</v>
      </c>
      <c r="E87" s="41"/>
      <c r="F87" s="186"/>
      <c r="G87" s="187"/>
      <c r="H87" s="188"/>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78" t="s">
        <v>61</v>
      </c>
      <c r="B103" s="179"/>
      <c r="C103" s="179"/>
      <c r="D103" s="96">
        <f>SUM(Boarding_7[Amount])</f>
        <v>0</v>
      </c>
      <c r="E103" s="34"/>
      <c r="F103" s="173" t="s">
        <v>33</v>
      </c>
      <c r="G103" s="174"/>
      <c r="H103" s="174"/>
    </row>
    <row r="104" spans="1:8" x14ac:dyDescent="0.3">
      <c r="A104" s="38"/>
      <c r="B104" s="38"/>
      <c r="C104" s="38"/>
      <c r="D104" s="39"/>
      <c r="E104" s="40"/>
      <c r="F104" s="173"/>
      <c r="G104" s="174"/>
      <c r="H104" s="174"/>
    </row>
    <row r="105" spans="1:8" ht="17.399999999999999" x14ac:dyDescent="0.3">
      <c r="A105" s="191" t="s">
        <v>70</v>
      </c>
      <c r="B105" s="192"/>
      <c r="C105" s="192"/>
      <c r="D105" s="193"/>
      <c r="E105" s="17"/>
      <c r="F105" s="183" t="s">
        <v>62</v>
      </c>
      <c r="G105" s="184"/>
      <c r="H105" s="185"/>
    </row>
    <row r="106" spans="1:8" x14ac:dyDescent="0.3">
      <c r="A106" s="21" t="s">
        <v>21</v>
      </c>
      <c r="B106" s="22" t="s">
        <v>22</v>
      </c>
      <c r="C106" s="22" t="s">
        <v>23</v>
      </c>
      <c r="D106" s="23" t="s">
        <v>25</v>
      </c>
      <c r="E106" s="41"/>
      <c r="F106" s="186"/>
      <c r="G106" s="187"/>
      <c r="H106" s="188"/>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78" t="s">
        <v>63</v>
      </c>
      <c r="B122" s="179"/>
      <c r="C122" s="179"/>
      <c r="D122" s="96">
        <f>SUM(Fence_7[Amount])</f>
        <v>0</v>
      </c>
      <c r="E122" s="34"/>
      <c r="F122" s="173" t="s">
        <v>33</v>
      </c>
      <c r="G122" s="174"/>
      <c r="H122" s="174"/>
    </row>
    <row r="123" spans="1:8" x14ac:dyDescent="0.3">
      <c r="F123" s="173"/>
      <c r="G123" s="174"/>
      <c r="H123" s="174"/>
    </row>
    <row r="124" spans="1:8" ht="17.399999999999999" x14ac:dyDescent="0.3">
      <c r="A124" s="191" t="s">
        <v>26</v>
      </c>
      <c r="B124" s="192"/>
      <c r="C124" s="192"/>
      <c r="D124" s="193"/>
      <c r="E124" s="17"/>
      <c r="F124" s="183" t="s">
        <v>11</v>
      </c>
      <c r="G124" s="184"/>
      <c r="H124" s="185"/>
    </row>
    <row r="125" spans="1:8" x14ac:dyDescent="0.3">
      <c r="A125" s="21" t="s">
        <v>21</v>
      </c>
      <c r="B125" s="22" t="s">
        <v>22</v>
      </c>
      <c r="C125" s="22" t="s">
        <v>23</v>
      </c>
      <c r="D125" s="23" t="s">
        <v>25</v>
      </c>
      <c r="E125" s="41"/>
      <c r="F125" s="186"/>
      <c r="G125" s="187"/>
      <c r="H125" s="188"/>
    </row>
    <row r="126" spans="1:8" x14ac:dyDescent="0.3">
      <c r="A126" s="100"/>
      <c r="B126" s="101"/>
      <c r="C126" s="101"/>
      <c r="D126" s="146">
        <v>98270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78" t="s">
        <v>27</v>
      </c>
      <c r="B141" s="179"/>
      <c r="C141" s="179"/>
      <c r="D141" s="96">
        <f>SUM(Demolition_7[Amount])</f>
        <v>98270</v>
      </c>
      <c r="E141" s="34"/>
      <c r="F141" s="173" t="s">
        <v>33</v>
      </c>
      <c r="G141" s="174"/>
      <c r="H141" s="174"/>
    </row>
    <row r="142" spans="1:8" x14ac:dyDescent="0.3">
      <c r="A142" s="38"/>
      <c r="B142" s="38"/>
      <c r="C142" s="38"/>
      <c r="D142" s="39"/>
      <c r="E142" s="40"/>
      <c r="F142" s="173"/>
      <c r="G142" s="174"/>
      <c r="H142" s="174"/>
    </row>
    <row r="143" spans="1:8" ht="17.399999999999999" x14ac:dyDescent="0.3">
      <c r="A143" s="191" t="s">
        <v>64</v>
      </c>
      <c r="B143" s="192"/>
      <c r="C143" s="192"/>
      <c r="D143" s="193"/>
      <c r="E143" s="17"/>
      <c r="F143" s="183" t="s">
        <v>44</v>
      </c>
      <c r="G143" s="184"/>
      <c r="H143" s="185"/>
    </row>
    <row r="144" spans="1:8" x14ac:dyDescent="0.3">
      <c r="A144" s="21" t="s">
        <v>21</v>
      </c>
      <c r="B144" s="22" t="s">
        <v>22</v>
      </c>
      <c r="C144" s="22" t="s">
        <v>23</v>
      </c>
      <c r="D144" s="23" t="s">
        <v>25</v>
      </c>
      <c r="E144" s="41"/>
      <c r="F144" s="186"/>
      <c r="G144" s="187"/>
      <c r="H144" s="188"/>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78" t="s">
        <v>65</v>
      </c>
      <c r="B160" s="179"/>
      <c r="C160" s="179"/>
      <c r="D160" s="96">
        <f>SUM(Rehab_7[Amount])</f>
        <v>0</v>
      </c>
      <c r="E160" s="34"/>
      <c r="F160" s="173" t="s">
        <v>33</v>
      </c>
      <c r="G160" s="174"/>
      <c r="H160" s="174"/>
    </row>
    <row r="161" spans="6:8" x14ac:dyDescent="0.3">
      <c r="F161" s="173"/>
      <c r="G161" s="174"/>
      <c r="H161" s="174"/>
    </row>
  </sheetData>
  <sheetProtection algorithmName="SHA-512" hashValue="HiGLHhNA47FDBQaoh8F0csbx6G20Ek8Rtcfjiqdvx5oqSflM9hWARL+AmHNhIGNq98LLZv+POoff7MRCQsS1Bw==" saltValue="pUcztSRmknf9wnWInowr3A==" spinCount="100000" sheet="1" insertRows="0" deleteRows="0"/>
  <protectedRanges>
    <protectedRange sqref="G160 F145:H159 G141 F126:H140 G122 F107:H121 G103 F88:H102 G84 F69:H83 G65 F50:H64 G46 F31:H45 G27 F12:H26" name="Comments"/>
    <protectedRange sqref="A145:D159" name="Rehab"/>
    <protectedRange sqref="A126:D140" name="Demolition"/>
    <protectedRange sqref="A107:D121" name="Fence"/>
    <protectedRange sqref="A88:D102" name="Boarding"/>
    <protectedRange sqref="A69:D83" name="Garbage"/>
    <protectedRange sqref="A50:D64" name="Pest"/>
    <protectedRange sqref="A31:D45" name="Tree"/>
    <protectedRange sqref="B6" name="Units"/>
    <protectedRange sqref="A12:D26" name="Gras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61"/>
  <sheetViews>
    <sheetView showGridLines="0" zoomScaleNormal="100" workbookViewId="0">
      <pane ySplit="9" topLeftCell="A118"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5" t="s">
        <v>24</v>
      </c>
      <c r="B1" s="175"/>
      <c r="C1" s="175"/>
      <c r="D1" s="175"/>
      <c r="E1" s="1"/>
      <c r="F1" s="2"/>
      <c r="G1" s="2"/>
      <c r="H1" s="1"/>
    </row>
    <row r="2" spans="1:14" ht="24.9" customHeight="1" x14ac:dyDescent="0.3">
      <c r="A2" s="176" t="s">
        <v>71</v>
      </c>
      <c r="B2" s="176"/>
      <c r="C2" s="176"/>
      <c r="D2" s="176"/>
      <c r="E2" s="4"/>
      <c r="F2" s="130"/>
      <c r="G2" s="130"/>
      <c r="H2" s="5"/>
    </row>
    <row r="3" spans="1:14" ht="31.5" customHeight="1" x14ac:dyDescent="0.3">
      <c r="A3" s="176"/>
      <c r="B3" s="176"/>
      <c r="C3" s="176"/>
      <c r="D3" s="176"/>
      <c r="E3" s="4"/>
      <c r="F3" s="130"/>
      <c r="G3" s="130"/>
      <c r="H3" s="5"/>
    </row>
    <row r="4" spans="1:14" ht="15" customHeight="1" x14ac:dyDescent="0.25">
      <c r="A4" s="75" t="s">
        <v>19</v>
      </c>
      <c r="B4" s="194" t="str">
        <f>IF('Summary Sheet'!B111="","",'Summary Sheet'!B111)</f>
        <v>3114 W FILLMORE ST</v>
      </c>
      <c r="C4" s="194"/>
      <c r="D4" s="130"/>
      <c r="E4" s="4"/>
      <c r="F4" s="130"/>
      <c r="G4" s="130"/>
      <c r="H4" s="5"/>
    </row>
    <row r="5" spans="1:14" ht="15" customHeight="1" x14ac:dyDescent="0.25">
      <c r="A5" s="75" t="s">
        <v>20</v>
      </c>
      <c r="B5" s="195" t="str">
        <f>IF('Summary Sheet'!C111="","",'Summary Sheet'!C111)</f>
        <v/>
      </c>
      <c r="C5" s="195"/>
      <c r="D5" s="130"/>
      <c r="E5" s="4"/>
      <c r="F5" s="130"/>
      <c r="G5" s="130"/>
      <c r="H5" s="5"/>
    </row>
    <row r="6" spans="1:14" ht="15" customHeight="1" x14ac:dyDescent="0.25">
      <c r="A6" s="75" t="s">
        <v>36</v>
      </c>
      <c r="B6" s="177"/>
      <c r="C6" s="177"/>
      <c r="D6" s="6"/>
      <c r="E6" s="7"/>
    </row>
    <row r="7" spans="1:14" ht="15" customHeight="1" x14ac:dyDescent="0.25">
      <c r="A7" s="7"/>
      <c r="B7" s="196" t="s">
        <v>34</v>
      </c>
      <c r="C7" s="196"/>
      <c r="D7" s="10"/>
    </row>
    <row r="8" spans="1:14" ht="20.100000000000001" customHeight="1" x14ac:dyDescent="0.25">
      <c r="B8" s="11"/>
      <c r="C8" s="11"/>
      <c r="D8" s="12" t="s">
        <v>31</v>
      </c>
      <c r="F8" s="180" t="s">
        <v>32</v>
      </c>
      <c r="G8" s="181"/>
      <c r="H8" s="182"/>
    </row>
    <row r="9" spans="1:14" s="14" customFormat="1" ht="20.100000000000001" customHeight="1" x14ac:dyDescent="0.25">
      <c r="A9" s="197"/>
      <c r="B9" s="197"/>
      <c r="C9" s="197"/>
      <c r="D9" s="13">
        <f>SUM(D27,D46,D65,D84,D103,D122,D141,D160)</f>
        <v>24010</v>
      </c>
      <c r="F9" s="15" t="s">
        <v>28</v>
      </c>
      <c r="G9" s="15" t="s">
        <v>29</v>
      </c>
      <c r="H9" s="15" t="s">
        <v>30</v>
      </c>
      <c r="I9" s="16"/>
      <c r="J9" s="16"/>
      <c r="K9" s="16"/>
      <c r="L9" s="16"/>
      <c r="M9" s="16"/>
      <c r="N9" s="16"/>
    </row>
    <row r="10" spans="1:14" s="17" customFormat="1" ht="23.1" customHeight="1" x14ac:dyDescent="0.3">
      <c r="A10" s="198" t="s">
        <v>51</v>
      </c>
      <c r="B10" s="198"/>
      <c r="C10" s="198"/>
      <c r="D10" s="198"/>
      <c r="F10" s="183" t="s">
        <v>66</v>
      </c>
      <c r="G10" s="184"/>
      <c r="H10" s="185"/>
      <c r="I10" s="18"/>
      <c r="J10" s="18"/>
      <c r="K10" s="18"/>
      <c r="L10" s="18"/>
      <c r="M10" s="19"/>
      <c r="N10" s="20"/>
    </row>
    <row r="11" spans="1:14" s="24" customFormat="1" ht="12.75" customHeight="1" x14ac:dyDescent="0.25">
      <c r="A11" s="21" t="s">
        <v>21</v>
      </c>
      <c r="B11" s="22" t="s">
        <v>22</v>
      </c>
      <c r="C11" s="22" t="s">
        <v>23</v>
      </c>
      <c r="D11" s="23" t="s">
        <v>25</v>
      </c>
      <c r="F11" s="186"/>
      <c r="G11" s="187"/>
      <c r="H11" s="188"/>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78" t="s">
        <v>53</v>
      </c>
      <c r="B27" s="179"/>
      <c r="C27" s="179"/>
      <c r="D27" s="96">
        <f>SUM(Grass_79[Amount])</f>
        <v>0</v>
      </c>
      <c r="F27" s="173" t="s">
        <v>33</v>
      </c>
      <c r="G27" s="174"/>
      <c r="H27" s="174"/>
      <c r="I27" s="35"/>
      <c r="J27" s="35"/>
      <c r="K27" s="35"/>
      <c r="L27" s="35"/>
      <c r="M27" s="36"/>
      <c r="N27" s="37"/>
    </row>
    <row r="28" spans="1:14" s="40" customFormat="1" ht="11.1" customHeight="1" x14ac:dyDescent="0.3">
      <c r="A28" s="38"/>
      <c r="B28" s="38"/>
      <c r="C28" s="38"/>
      <c r="D28" s="39"/>
      <c r="F28" s="173"/>
      <c r="G28" s="174"/>
      <c r="H28" s="174"/>
      <c r="I28" s="35"/>
      <c r="J28" s="35"/>
      <c r="K28" s="35"/>
      <c r="L28" s="35"/>
      <c r="M28" s="36"/>
      <c r="N28" s="37"/>
    </row>
    <row r="29" spans="1:14" s="17" customFormat="1" ht="23.1" customHeight="1" x14ac:dyDescent="0.3">
      <c r="A29" s="191" t="s">
        <v>67</v>
      </c>
      <c r="B29" s="192"/>
      <c r="C29" s="192"/>
      <c r="D29" s="193"/>
      <c r="F29" s="183" t="s">
        <v>52</v>
      </c>
      <c r="G29" s="184"/>
      <c r="H29" s="185"/>
      <c r="I29" s="18"/>
      <c r="J29" s="18"/>
      <c r="K29" s="18"/>
      <c r="L29" s="18"/>
      <c r="M29" s="19"/>
      <c r="N29" s="20"/>
    </row>
    <row r="30" spans="1:14" s="41" customFormat="1" ht="12.75" customHeight="1" x14ac:dyDescent="0.25">
      <c r="A30" s="21" t="s">
        <v>21</v>
      </c>
      <c r="B30" s="22" t="s">
        <v>22</v>
      </c>
      <c r="C30" s="22" t="s">
        <v>23</v>
      </c>
      <c r="D30" s="23" t="s">
        <v>25</v>
      </c>
      <c r="F30" s="186"/>
      <c r="G30" s="187"/>
      <c r="H30" s="188"/>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31"/>
      <c r="J44" s="29"/>
      <c r="K44" s="29"/>
      <c r="L44" s="131"/>
      <c r="M44" s="30"/>
      <c r="N44" s="16"/>
    </row>
    <row r="45" spans="1:14" x14ac:dyDescent="0.3">
      <c r="A45" s="106"/>
      <c r="B45" s="107"/>
      <c r="C45" s="107"/>
      <c r="D45" s="114"/>
      <c r="F45" s="103"/>
      <c r="G45" s="104"/>
      <c r="H45" s="109"/>
      <c r="I45" s="131"/>
      <c r="J45" s="29"/>
      <c r="K45" s="29"/>
      <c r="L45" s="131"/>
      <c r="M45" s="30"/>
      <c r="N45" s="16"/>
    </row>
    <row r="46" spans="1:14" s="34" customFormat="1" x14ac:dyDescent="0.3">
      <c r="A46" s="178" t="s">
        <v>54</v>
      </c>
      <c r="B46" s="179"/>
      <c r="C46" s="179"/>
      <c r="D46" s="96">
        <f>SUM(Tree_79[Amount])</f>
        <v>0</v>
      </c>
      <c r="F46" s="173" t="s">
        <v>33</v>
      </c>
      <c r="G46" s="174"/>
      <c r="H46" s="174"/>
      <c r="I46" s="43"/>
      <c r="J46" s="43"/>
      <c r="K46" s="43"/>
      <c r="L46" s="43"/>
      <c r="M46" s="36"/>
      <c r="N46" s="37"/>
    </row>
    <row r="47" spans="1:14" s="40" customFormat="1" ht="11.1" customHeight="1" x14ac:dyDescent="0.3">
      <c r="A47" s="38"/>
      <c r="B47" s="38"/>
      <c r="C47" s="38"/>
      <c r="D47" s="39"/>
      <c r="F47" s="173"/>
      <c r="G47" s="174"/>
      <c r="H47" s="174"/>
      <c r="I47" s="43"/>
      <c r="J47" s="43"/>
      <c r="K47" s="43"/>
      <c r="L47" s="43"/>
      <c r="M47" s="36"/>
      <c r="N47" s="37"/>
    </row>
    <row r="48" spans="1:14" s="17" customFormat="1" ht="23.1" customHeight="1" x14ac:dyDescent="0.3">
      <c r="A48" s="191" t="s">
        <v>68</v>
      </c>
      <c r="B48" s="192"/>
      <c r="C48" s="192"/>
      <c r="D48" s="193"/>
      <c r="F48" s="183" t="s">
        <v>55</v>
      </c>
      <c r="G48" s="184"/>
      <c r="H48" s="185"/>
      <c r="I48" s="44"/>
      <c r="J48" s="44"/>
      <c r="K48" s="44"/>
      <c r="L48" s="44"/>
      <c r="M48" s="19"/>
      <c r="N48" s="20"/>
    </row>
    <row r="49" spans="1:14" s="41" customFormat="1" ht="12.75" customHeight="1" x14ac:dyDescent="0.25">
      <c r="A49" s="21" t="s">
        <v>21</v>
      </c>
      <c r="B49" s="22" t="s">
        <v>22</v>
      </c>
      <c r="C49" s="22" t="s">
        <v>23</v>
      </c>
      <c r="D49" s="23" t="s">
        <v>25</v>
      </c>
      <c r="F49" s="186"/>
      <c r="G49" s="187"/>
      <c r="H49" s="188"/>
      <c r="I49" s="131"/>
      <c r="J49" s="131"/>
      <c r="K49" s="131"/>
      <c r="L49" s="131"/>
      <c r="M49" s="30"/>
      <c r="N49" s="42"/>
    </row>
    <row r="50" spans="1:14" x14ac:dyDescent="0.3">
      <c r="A50" s="100"/>
      <c r="B50" s="101"/>
      <c r="C50" s="101"/>
      <c r="D50" s="112"/>
      <c r="F50" s="103"/>
      <c r="G50" s="104"/>
      <c r="H50" s="109"/>
      <c r="I50" s="131"/>
      <c r="J50" s="131"/>
      <c r="K50" s="131"/>
      <c r="L50" s="131"/>
      <c r="M50" s="30"/>
      <c r="N50" s="16"/>
    </row>
    <row r="51" spans="1:14" x14ac:dyDescent="0.3">
      <c r="A51" s="106"/>
      <c r="B51" s="107"/>
      <c r="C51" s="107"/>
      <c r="D51" s="113"/>
      <c r="F51" s="103"/>
      <c r="G51" s="104"/>
      <c r="H51" s="109"/>
      <c r="I51" s="131"/>
      <c r="J51" s="131"/>
      <c r="K51" s="131"/>
      <c r="L51" s="131"/>
      <c r="M51" s="30"/>
      <c r="N51" s="16"/>
    </row>
    <row r="52" spans="1:14" x14ac:dyDescent="0.3">
      <c r="A52" s="106"/>
      <c r="B52" s="107"/>
      <c r="C52" s="107"/>
      <c r="D52" s="114"/>
      <c r="F52" s="103"/>
      <c r="H52" s="109"/>
      <c r="I52" s="131"/>
      <c r="J52" s="131"/>
      <c r="K52" s="131"/>
      <c r="L52" s="131"/>
      <c r="M52" s="30"/>
      <c r="N52" s="16"/>
    </row>
    <row r="53" spans="1:14" x14ac:dyDescent="0.3">
      <c r="A53" s="106"/>
      <c r="B53" s="107"/>
      <c r="C53" s="107"/>
      <c r="D53" s="113"/>
      <c r="F53" s="103"/>
      <c r="G53" s="104"/>
      <c r="H53" s="109"/>
      <c r="I53" s="131"/>
      <c r="J53" s="131"/>
      <c r="K53" s="131"/>
      <c r="L53" s="131"/>
      <c r="M53" s="30"/>
      <c r="N53" s="16"/>
    </row>
    <row r="54" spans="1:14" x14ac:dyDescent="0.3">
      <c r="A54" s="106"/>
      <c r="B54" s="107"/>
      <c r="C54" s="107"/>
      <c r="D54" s="114"/>
      <c r="F54" s="103"/>
      <c r="G54" s="104"/>
      <c r="H54" s="109"/>
      <c r="I54" s="131"/>
      <c r="J54" s="131"/>
      <c r="K54" s="131"/>
      <c r="L54" s="131"/>
      <c r="M54" s="30"/>
      <c r="N54" s="16"/>
    </row>
    <row r="55" spans="1:14" x14ac:dyDescent="0.3">
      <c r="A55" s="106"/>
      <c r="B55" s="107"/>
      <c r="C55" s="107"/>
      <c r="D55" s="113"/>
      <c r="F55" s="103"/>
      <c r="G55" s="104"/>
      <c r="H55" s="109"/>
      <c r="I55" s="131"/>
      <c r="J55" s="131"/>
      <c r="K55" s="131"/>
      <c r="L55" s="131"/>
      <c r="M55" s="30"/>
      <c r="N55" s="16"/>
    </row>
    <row r="56" spans="1:14" x14ac:dyDescent="0.3">
      <c r="A56" s="106"/>
      <c r="B56" s="107"/>
      <c r="C56" s="107"/>
      <c r="D56" s="114"/>
      <c r="F56" s="103"/>
      <c r="G56" s="104"/>
      <c r="H56" s="109"/>
      <c r="I56" s="131"/>
      <c r="J56" s="131"/>
      <c r="K56" s="131"/>
      <c r="L56" s="131"/>
      <c r="M56" s="30"/>
      <c r="N56" s="16"/>
    </row>
    <row r="57" spans="1:14" x14ac:dyDescent="0.3">
      <c r="A57" s="106"/>
      <c r="B57" s="107"/>
      <c r="C57" s="107"/>
      <c r="D57" s="113"/>
      <c r="F57" s="103"/>
      <c r="G57" s="104"/>
      <c r="H57" s="109"/>
      <c r="I57" s="131"/>
      <c r="J57" s="131"/>
      <c r="K57" s="131"/>
      <c r="L57" s="131"/>
      <c r="M57" s="30"/>
      <c r="N57" s="16"/>
    </row>
    <row r="58" spans="1:14" x14ac:dyDescent="0.3">
      <c r="A58" s="106"/>
      <c r="B58" s="107"/>
      <c r="C58" s="107"/>
      <c r="D58" s="114"/>
      <c r="F58" s="103"/>
      <c r="G58" s="104"/>
      <c r="H58" s="109"/>
      <c r="I58" s="131"/>
      <c r="J58" s="131"/>
      <c r="K58" s="131"/>
      <c r="L58" s="131"/>
      <c r="M58" s="30"/>
      <c r="N58" s="16"/>
    </row>
    <row r="59" spans="1:14" x14ac:dyDescent="0.3">
      <c r="A59" s="106"/>
      <c r="B59" s="107"/>
      <c r="C59" s="107"/>
      <c r="D59" s="113"/>
      <c r="F59" s="103"/>
      <c r="G59" s="104"/>
      <c r="H59" s="109"/>
      <c r="I59" s="131"/>
      <c r="J59" s="190"/>
      <c r="K59" s="190"/>
      <c r="L59" s="131"/>
      <c r="M59" s="30"/>
      <c r="N59" s="16"/>
    </row>
    <row r="60" spans="1:14" x14ac:dyDescent="0.3">
      <c r="A60" s="106"/>
      <c r="B60" s="107"/>
      <c r="C60" s="107"/>
      <c r="D60" s="114"/>
      <c r="F60" s="103"/>
      <c r="G60" s="104"/>
      <c r="H60" s="109"/>
      <c r="I60" s="189"/>
      <c r="J60" s="189"/>
      <c r="K60" s="189"/>
      <c r="L60" s="189"/>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78" t="s">
        <v>56</v>
      </c>
      <c r="B65" s="179"/>
      <c r="C65" s="179"/>
      <c r="D65" s="96">
        <f>SUM(Pest_79[Amount])</f>
        <v>0</v>
      </c>
      <c r="F65" s="173" t="s">
        <v>33</v>
      </c>
      <c r="G65" s="174"/>
      <c r="H65" s="174"/>
    </row>
    <row r="66" spans="1:8" x14ac:dyDescent="0.3">
      <c r="F66" s="173"/>
      <c r="G66" s="174"/>
      <c r="H66" s="174"/>
    </row>
    <row r="67" spans="1:8" ht="17.399999999999999" x14ac:dyDescent="0.3">
      <c r="A67" s="198" t="s">
        <v>69</v>
      </c>
      <c r="B67" s="198"/>
      <c r="C67" s="198"/>
      <c r="D67" s="198"/>
      <c r="E67" s="17"/>
      <c r="F67" s="183" t="s">
        <v>57</v>
      </c>
      <c r="G67" s="184"/>
      <c r="H67" s="185"/>
    </row>
    <row r="68" spans="1:8" x14ac:dyDescent="0.3">
      <c r="A68" s="21" t="s">
        <v>21</v>
      </c>
      <c r="B68" s="22" t="s">
        <v>22</v>
      </c>
      <c r="C68" s="22" t="s">
        <v>23</v>
      </c>
      <c r="D68" s="23" t="s">
        <v>25</v>
      </c>
      <c r="E68" s="24"/>
      <c r="F68" s="186"/>
      <c r="G68" s="187"/>
      <c r="H68" s="188"/>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78" t="s">
        <v>58</v>
      </c>
      <c r="B84" s="179"/>
      <c r="C84" s="179"/>
      <c r="D84" s="96">
        <f>SUM(Garbage_79[Amount])</f>
        <v>0</v>
      </c>
      <c r="E84" s="34"/>
      <c r="F84" s="173" t="s">
        <v>33</v>
      </c>
      <c r="G84" s="174"/>
      <c r="H84" s="174"/>
    </row>
    <row r="85" spans="1:8" x14ac:dyDescent="0.3">
      <c r="A85" s="38"/>
      <c r="B85" s="38"/>
      <c r="C85" s="38"/>
      <c r="D85" s="39"/>
      <c r="E85" s="40"/>
      <c r="F85" s="173"/>
      <c r="G85" s="174"/>
      <c r="H85" s="174"/>
    </row>
    <row r="86" spans="1:8" ht="17.399999999999999" x14ac:dyDescent="0.3">
      <c r="A86" s="191" t="s">
        <v>59</v>
      </c>
      <c r="B86" s="192"/>
      <c r="C86" s="192"/>
      <c r="D86" s="193"/>
      <c r="E86" s="17"/>
      <c r="F86" s="183" t="s">
        <v>60</v>
      </c>
      <c r="G86" s="184"/>
      <c r="H86" s="185"/>
    </row>
    <row r="87" spans="1:8" x14ac:dyDescent="0.3">
      <c r="A87" s="21" t="s">
        <v>21</v>
      </c>
      <c r="B87" s="22" t="s">
        <v>22</v>
      </c>
      <c r="C87" s="22" t="s">
        <v>23</v>
      </c>
      <c r="D87" s="23" t="s">
        <v>25</v>
      </c>
      <c r="E87" s="41"/>
      <c r="F87" s="186"/>
      <c r="G87" s="187"/>
      <c r="H87" s="188"/>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78" t="s">
        <v>61</v>
      </c>
      <c r="B103" s="179"/>
      <c r="C103" s="179"/>
      <c r="D103" s="96">
        <f>SUM(Boarding_79[Amount])</f>
        <v>0</v>
      </c>
      <c r="E103" s="34"/>
      <c r="F103" s="173" t="s">
        <v>33</v>
      </c>
      <c r="G103" s="174"/>
      <c r="H103" s="174"/>
    </row>
    <row r="104" spans="1:8" x14ac:dyDescent="0.3">
      <c r="A104" s="38"/>
      <c r="B104" s="38"/>
      <c r="C104" s="38"/>
      <c r="D104" s="39"/>
      <c r="E104" s="40"/>
      <c r="F104" s="173"/>
      <c r="G104" s="174"/>
      <c r="H104" s="174"/>
    </row>
    <row r="105" spans="1:8" ht="17.399999999999999" x14ac:dyDescent="0.3">
      <c r="A105" s="191" t="s">
        <v>70</v>
      </c>
      <c r="B105" s="192"/>
      <c r="C105" s="192"/>
      <c r="D105" s="193"/>
      <c r="E105" s="17"/>
      <c r="F105" s="183" t="s">
        <v>62</v>
      </c>
      <c r="G105" s="184"/>
      <c r="H105" s="185"/>
    </row>
    <row r="106" spans="1:8" x14ac:dyDescent="0.3">
      <c r="A106" s="21" t="s">
        <v>21</v>
      </c>
      <c r="B106" s="22" t="s">
        <v>22</v>
      </c>
      <c r="C106" s="22" t="s">
        <v>23</v>
      </c>
      <c r="D106" s="23" t="s">
        <v>25</v>
      </c>
      <c r="E106" s="41"/>
      <c r="F106" s="186"/>
      <c r="G106" s="187"/>
      <c r="H106" s="188"/>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78" t="s">
        <v>63</v>
      </c>
      <c r="B122" s="179"/>
      <c r="C122" s="179"/>
      <c r="D122" s="96">
        <f>SUM(Fence_79[Amount])</f>
        <v>0</v>
      </c>
      <c r="E122" s="34"/>
      <c r="F122" s="173" t="s">
        <v>33</v>
      </c>
      <c r="G122" s="174"/>
      <c r="H122" s="174"/>
    </row>
    <row r="123" spans="1:8" x14ac:dyDescent="0.3">
      <c r="F123" s="173"/>
      <c r="G123" s="174"/>
      <c r="H123" s="174"/>
    </row>
    <row r="124" spans="1:8" ht="17.399999999999999" x14ac:dyDescent="0.3">
      <c r="A124" s="191" t="s">
        <v>26</v>
      </c>
      <c r="B124" s="192"/>
      <c r="C124" s="192"/>
      <c r="D124" s="193"/>
      <c r="E124" s="17"/>
      <c r="F124" s="183" t="s">
        <v>11</v>
      </c>
      <c r="G124" s="184"/>
      <c r="H124" s="185"/>
    </row>
    <row r="125" spans="1:8" x14ac:dyDescent="0.3">
      <c r="A125" s="21" t="s">
        <v>21</v>
      </c>
      <c r="B125" s="22" t="s">
        <v>22</v>
      </c>
      <c r="C125" s="22" t="s">
        <v>23</v>
      </c>
      <c r="D125" s="23" t="s">
        <v>25</v>
      </c>
      <c r="E125" s="41"/>
      <c r="F125" s="186"/>
      <c r="G125" s="187"/>
      <c r="H125" s="188"/>
    </row>
    <row r="126" spans="1:8" x14ac:dyDescent="0.3">
      <c r="A126" s="100"/>
      <c r="B126" s="101"/>
      <c r="C126" s="101"/>
      <c r="D126" s="112">
        <v>24010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78" t="s">
        <v>27</v>
      </c>
      <c r="B141" s="179"/>
      <c r="C141" s="179"/>
      <c r="D141" s="96">
        <f>SUM(Demolition_79[Amount])</f>
        <v>24010</v>
      </c>
      <c r="E141" s="34"/>
      <c r="F141" s="173" t="s">
        <v>33</v>
      </c>
      <c r="G141" s="174"/>
      <c r="H141" s="174"/>
    </row>
    <row r="142" spans="1:8" x14ac:dyDescent="0.3">
      <c r="A142" s="38"/>
      <c r="B142" s="38"/>
      <c r="C142" s="38"/>
      <c r="D142" s="39"/>
      <c r="E142" s="40"/>
      <c r="F142" s="173"/>
      <c r="G142" s="174"/>
      <c r="H142" s="174"/>
    </row>
    <row r="143" spans="1:8" ht="17.399999999999999" x14ac:dyDescent="0.3">
      <c r="A143" s="191" t="s">
        <v>64</v>
      </c>
      <c r="B143" s="192"/>
      <c r="C143" s="192"/>
      <c r="D143" s="193"/>
      <c r="E143" s="17"/>
      <c r="F143" s="183" t="s">
        <v>44</v>
      </c>
      <c r="G143" s="184"/>
      <c r="H143" s="185"/>
    </row>
    <row r="144" spans="1:8" x14ac:dyDescent="0.3">
      <c r="A144" s="21" t="s">
        <v>21</v>
      </c>
      <c r="B144" s="22" t="s">
        <v>22</v>
      </c>
      <c r="C144" s="22" t="s">
        <v>23</v>
      </c>
      <c r="D144" s="23" t="s">
        <v>25</v>
      </c>
      <c r="E144" s="41"/>
      <c r="F144" s="186"/>
      <c r="G144" s="187"/>
      <c r="H144" s="188"/>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78" t="s">
        <v>65</v>
      </c>
      <c r="B160" s="179"/>
      <c r="C160" s="179"/>
      <c r="D160" s="96">
        <f>SUM(Rehab_79[Amount])</f>
        <v>0</v>
      </c>
      <c r="E160" s="34"/>
      <c r="F160" s="173" t="s">
        <v>33</v>
      </c>
      <c r="G160" s="174"/>
      <c r="H160" s="174"/>
    </row>
    <row r="161" spans="6:8" x14ac:dyDescent="0.3">
      <c r="F161" s="173"/>
      <c r="G161" s="174"/>
      <c r="H161" s="174"/>
    </row>
  </sheetData>
  <sheetProtection algorithmName="SHA-512" hashValue="qTmvzVE5KnhAjT65USTlWCUHiJ7D5tmzZZU+JJbg8EKW7i5H8R+jdVPPnGMR8O0VPbqIlZ4K41fLwIDHSDZDpw==" saltValue="R/blZwQWuWka2s6/kopjrw=="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61"/>
  <sheetViews>
    <sheetView showGridLines="0" zoomScaleNormal="100" workbookViewId="0">
      <pane ySplit="9" topLeftCell="A118"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5" t="s">
        <v>24</v>
      </c>
      <c r="B1" s="175"/>
      <c r="C1" s="175"/>
      <c r="D1" s="175"/>
      <c r="E1" s="1"/>
      <c r="F1" s="2"/>
      <c r="G1" s="2"/>
      <c r="H1" s="1"/>
    </row>
    <row r="2" spans="1:14" ht="24.9" customHeight="1" x14ac:dyDescent="0.3">
      <c r="A2" s="176" t="s">
        <v>71</v>
      </c>
      <c r="B2" s="176"/>
      <c r="C2" s="176"/>
      <c r="D2" s="176"/>
      <c r="E2" s="4"/>
      <c r="F2" s="130"/>
      <c r="G2" s="130"/>
      <c r="H2" s="5"/>
    </row>
    <row r="3" spans="1:14" ht="31.5" customHeight="1" x14ac:dyDescent="0.3">
      <c r="A3" s="176"/>
      <c r="B3" s="176"/>
      <c r="C3" s="176"/>
      <c r="D3" s="176"/>
      <c r="E3" s="4"/>
      <c r="F3" s="130"/>
      <c r="G3" s="130"/>
      <c r="H3" s="5"/>
    </row>
    <row r="4" spans="1:14" ht="15" customHeight="1" x14ac:dyDescent="0.25">
      <c r="A4" s="75" t="s">
        <v>19</v>
      </c>
      <c r="B4" s="194" t="str">
        <f>IF('Summary Sheet'!B112="","",'Summary Sheet'!B112)</f>
        <v>3122 W TAYLOR ST</v>
      </c>
      <c r="C4" s="194"/>
      <c r="D4" s="130"/>
      <c r="E4" s="4"/>
      <c r="F4" s="130"/>
      <c r="G4" s="130"/>
      <c r="H4" s="5"/>
    </row>
    <row r="5" spans="1:14" ht="15" customHeight="1" x14ac:dyDescent="0.25">
      <c r="A5" s="75" t="s">
        <v>20</v>
      </c>
      <c r="B5" s="195" t="str">
        <f>IF('Summary Sheet'!C112="","",'Summary Sheet'!C112)</f>
        <v/>
      </c>
      <c r="C5" s="195"/>
      <c r="D5" s="130"/>
      <c r="E5" s="4"/>
      <c r="F5" s="130"/>
      <c r="G5" s="130"/>
      <c r="H5" s="5"/>
    </row>
    <row r="6" spans="1:14" ht="15" customHeight="1" x14ac:dyDescent="0.25">
      <c r="A6" s="75" t="s">
        <v>36</v>
      </c>
      <c r="B6" s="177"/>
      <c r="C6" s="177"/>
      <c r="D6" s="6"/>
      <c r="E6" s="7"/>
    </row>
    <row r="7" spans="1:14" ht="15" customHeight="1" x14ac:dyDescent="0.25">
      <c r="A7" s="7"/>
      <c r="B7" s="196" t="s">
        <v>34</v>
      </c>
      <c r="C7" s="196"/>
      <c r="D7" s="10"/>
    </row>
    <row r="8" spans="1:14" ht="20.100000000000001" customHeight="1" x14ac:dyDescent="0.25">
      <c r="B8" s="11"/>
      <c r="C8" s="11"/>
      <c r="D8" s="12" t="s">
        <v>31</v>
      </c>
      <c r="F8" s="180" t="s">
        <v>32</v>
      </c>
      <c r="G8" s="181"/>
      <c r="H8" s="182"/>
    </row>
    <row r="9" spans="1:14" s="14" customFormat="1" ht="20.100000000000001" customHeight="1" x14ac:dyDescent="0.25">
      <c r="A9" s="197"/>
      <c r="B9" s="197"/>
      <c r="C9" s="197"/>
      <c r="D9" s="13">
        <f>SUM(D27,D46,D65,D84,D103,D122,D141,D160)</f>
        <v>15010</v>
      </c>
      <c r="F9" s="15" t="s">
        <v>28</v>
      </c>
      <c r="G9" s="15" t="s">
        <v>29</v>
      </c>
      <c r="H9" s="15" t="s">
        <v>30</v>
      </c>
      <c r="I9" s="16"/>
      <c r="J9" s="16"/>
      <c r="K9" s="16"/>
      <c r="L9" s="16"/>
      <c r="M9" s="16"/>
      <c r="N9" s="16"/>
    </row>
    <row r="10" spans="1:14" s="17" customFormat="1" ht="23.1" customHeight="1" x14ac:dyDescent="0.3">
      <c r="A10" s="198" t="s">
        <v>51</v>
      </c>
      <c r="B10" s="198"/>
      <c r="C10" s="198"/>
      <c r="D10" s="198"/>
      <c r="F10" s="183" t="s">
        <v>66</v>
      </c>
      <c r="G10" s="184"/>
      <c r="H10" s="185"/>
      <c r="I10" s="18"/>
      <c r="J10" s="18"/>
      <c r="K10" s="18"/>
      <c r="L10" s="18"/>
      <c r="M10" s="19"/>
      <c r="N10" s="20"/>
    </row>
    <row r="11" spans="1:14" s="24" customFormat="1" ht="12.75" customHeight="1" x14ac:dyDescent="0.25">
      <c r="A11" s="21" t="s">
        <v>21</v>
      </c>
      <c r="B11" s="22" t="s">
        <v>22</v>
      </c>
      <c r="C11" s="22" t="s">
        <v>23</v>
      </c>
      <c r="D11" s="23" t="s">
        <v>25</v>
      </c>
      <c r="F11" s="186"/>
      <c r="G11" s="187"/>
      <c r="H11" s="188"/>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78" t="s">
        <v>53</v>
      </c>
      <c r="B27" s="179"/>
      <c r="C27" s="179"/>
      <c r="D27" s="96">
        <f>SUM(Grass_80[Amount])</f>
        <v>0</v>
      </c>
      <c r="F27" s="173" t="s">
        <v>33</v>
      </c>
      <c r="G27" s="174"/>
      <c r="H27" s="174"/>
      <c r="I27" s="35"/>
      <c r="J27" s="35"/>
      <c r="K27" s="35"/>
      <c r="L27" s="35"/>
      <c r="M27" s="36"/>
      <c r="N27" s="37"/>
    </row>
    <row r="28" spans="1:14" s="40" customFormat="1" ht="11.1" customHeight="1" x14ac:dyDescent="0.3">
      <c r="A28" s="38"/>
      <c r="B28" s="38"/>
      <c r="C28" s="38"/>
      <c r="D28" s="39"/>
      <c r="F28" s="173"/>
      <c r="G28" s="174"/>
      <c r="H28" s="174"/>
      <c r="I28" s="35"/>
      <c r="J28" s="35"/>
      <c r="K28" s="35"/>
      <c r="L28" s="35"/>
      <c r="M28" s="36"/>
      <c r="N28" s="37"/>
    </row>
    <row r="29" spans="1:14" s="17" customFormat="1" ht="23.1" customHeight="1" x14ac:dyDescent="0.3">
      <c r="A29" s="191" t="s">
        <v>67</v>
      </c>
      <c r="B29" s="192"/>
      <c r="C29" s="192"/>
      <c r="D29" s="193"/>
      <c r="F29" s="183" t="s">
        <v>52</v>
      </c>
      <c r="G29" s="184"/>
      <c r="H29" s="185"/>
      <c r="I29" s="18"/>
      <c r="J29" s="18"/>
      <c r="K29" s="18"/>
      <c r="L29" s="18"/>
      <c r="M29" s="19"/>
      <c r="N29" s="20"/>
    </row>
    <row r="30" spans="1:14" s="41" customFormat="1" ht="12.75" customHeight="1" x14ac:dyDescent="0.25">
      <c r="A30" s="21" t="s">
        <v>21</v>
      </c>
      <c r="B30" s="22" t="s">
        <v>22</v>
      </c>
      <c r="C30" s="22" t="s">
        <v>23</v>
      </c>
      <c r="D30" s="23" t="s">
        <v>25</v>
      </c>
      <c r="F30" s="186"/>
      <c r="G30" s="187"/>
      <c r="H30" s="188"/>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31"/>
      <c r="J44" s="29"/>
      <c r="K44" s="29"/>
      <c r="L44" s="131"/>
      <c r="M44" s="30"/>
      <c r="N44" s="16"/>
    </row>
    <row r="45" spans="1:14" x14ac:dyDescent="0.3">
      <c r="A45" s="106"/>
      <c r="B45" s="107"/>
      <c r="C45" s="107"/>
      <c r="D45" s="114"/>
      <c r="F45" s="103"/>
      <c r="G45" s="104"/>
      <c r="H45" s="109"/>
      <c r="I45" s="131"/>
      <c r="J45" s="29"/>
      <c r="K45" s="29"/>
      <c r="L45" s="131"/>
      <c r="M45" s="30"/>
      <c r="N45" s="16"/>
    </row>
    <row r="46" spans="1:14" s="34" customFormat="1" x14ac:dyDescent="0.3">
      <c r="A46" s="178" t="s">
        <v>54</v>
      </c>
      <c r="B46" s="179"/>
      <c r="C46" s="179"/>
      <c r="D46" s="96">
        <f>SUM(Tree_80[Amount])</f>
        <v>0</v>
      </c>
      <c r="F46" s="173" t="s">
        <v>33</v>
      </c>
      <c r="G46" s="174"/>
      <c r="H46" s="174"/>
      <c r="I46" s="43"/>
      <c r="J46" s="43"/>
      <c r="K46" s="43"/>
      <c r="L46" s="43"/>
      <c r="M46" s="36"/>
      <c r="N46" s="37"/>
    </row>
    <row r="47" spans="1:14" s="40" customFormat="1" ht="11.1" customHeight="1" x14ac:dyDescent="0.3">
      <c r="A47" s="38"/>
      <c r="B47" s="38"/>
      <c r="C47" s="38"/>
      <c r="D47" s="39"/>
      <c r="F47" s="173"/>
      <c r="G47" s="174"/>
      <c r="H47" s="174"/>
      <c r="I47" s="43"/>
      <c r="J47" s="43"/>
      <c r="K47" s="43"/>
      <c r="L47" s="43"/>
      <c r="M47" s="36"/>
      <c r="N47" s="37"/>
    </row>
    <row r="48" spans="1:14" s="17" customFormat="1" ht="23.1" customHeight="1" x14ac:dyDescent="0.3">
      <c r="A48" s="191" t="s">
        <v>68</v>
      </c>
      <c r="B48" s="192"/>
      <c r="C48" s="192"/>
      <c r="D48" s="193"/>
      <c r="F48" s="183" t="s">
        <v>55</v>
      </c>
      <c r="G48" s="184"/>
      <c r="H48" s="185"/>
      <c r="I48" s="44"/>
      <c r="J48" s="44"/>
      <c r="K48" s="44"/>
      <c r="L48" s="44"/>
      <c r="M48" s="19"/>
      <c r="N48" s="20"/>
    </row>
    <row r="49" spans="1:14" s="41" customFormat="1" ht="12.75" customHeight="1" x14ac:dyDescent="0.25">
      <c r="A49" s="21" t="s">
        <v>21</v>
      </c>
      <c r="B49" s="22" t="s">
        <v>22</v>
      </c>
      <c r="C49" s="22" t="s">
        <v>23</v>
      </c>
      <c r="D49" s="23" t="s">
        <v>25</v>
      </c>
      <c r="F49" s="186"/>
      <c r="G49" s="187"/>
      <c r="H49" s="188"/>
      <c r="I49" s="131"/>
      <c r="J49" s="131"/>
      <c r="K49" s="131"/>
      <c r="L49" s="131"/>
      <c r="M49" s="30"/>
      <c r="N49" s="42"/>
    </row>
    <row r="50" spans="1:14" x14ac:dyDescent="0.3">
      <c r="A50" s="100"/>
      <c r="B50" s="101"/>
      <c r="C50" s="101"/>
      <c r="D50" s="112"/>
      <c r="F50" s="103"/>
      <c r="G50" s="104"/>
      <c r="H50" s="109"/>
      <c r="I50" s="131"/>
      <c r="J50" s="131"/>
      <c r="K50" s="131"/>
      <c r="L50" s="131"/>
      <c r="M50" s="30"/>
      <c r="N50" s="16"/>
    </row>
    <row r="51" spans="1:14" x14ac:dyDescent="0.3">
      <c r="A51" s="106"/>
      <c r="B51" s="107"/>
      <c r="C51" s="107"/>
      <c r="D51" s="113"/>
      <c r="F51" s="103"/>
      <c r="G51" s="104"/>
      <c r="H51" s="109"/>
      <c r="I51" s="131"/>
      <c r="J51" s="131"/>
      <c r="K51" s="131"/>
      <c r="L51" s="131"/>
      <c r="M51" s="30"/>
      <c r="N51" s="16"/>
    </row>
    <row r="52" spans="1:14" x14ac:dyDescent="0.3">
      <c r="A52" s="106"/>
      <c r="B52" s="107"/>
      <c r="C52" s="107"/>
      <c r="D52" s="114"/>
      <c r="F52" s="103"/>
      <c r="H52" s="109"/>
      <c r="I52" s="131"/>
      <c r="J52" s="131"/>
      <c r="K52" s="131"/>
      <c r="L52" s="131"/>
      <c r="M52" s="30"/>
      <c r="N52" s="16"/>
    </row>
    <row r="53" spans="1:14" x14ac:dyDescent="0.3">
      <c r="A53" s="106"/>
      <c r="B53" s="107"/>
      <c r="C53" s="107"/>
      <c r="D53" s="113"/>
      <c r="F53" s="103"/>
      <c r="G53" s="104"/>
      <c r="H53" s="109"/>
      <c r="I53" s="131"/>
      <c r="J53" s="131"/>
      <c r="K53" s="131"/>
      <c r="L53" s="131"/>
      <c r="M53" s="30"/>
      <c r="N53" s="16"/>
    </row>
    <row r="54" spans="1:14" x14ac:dyDescent="0.3">
      <c r="A54" s="106"/>
      <c r="B54" s="107"/>
      <c r="C54" s="107"/>
      <c r="D54" s="114"/>
      <c r="F54" s="103"/>
      <c r="G54" s="104"/>
      <c r="H54" s="109"/>
      <c r="I54" s="131"/>
      <c r="J54" s="131"/>
      <c r="K54" s="131"/>
      <c r="L54" s="131"/>
      <c r="M54" s="30"/>
      <c r="N54" s="16"/>
    </row>
    <row r="55" spans="1:14" x14ac:dyDescent="0.3">
      <c r="A55" s="106"/>
      <c r="B55" s="107"/>
      <c r="C55" s="107"/>
      <c r="D55" s="113"/>
      <c r="F55" s="103"/>
      <c r="G55" s="104"/>
      <c r="H55" s="109"/>
      <c r="I55" s="131"/>
      <c r="J55" s="131"/>
      <c r="K55" s="131"/>
      <c r="L55" s="131"/>
      <c r="M55" s="30"/>
      <c r="N55" s="16"/>
    </row>
    <row r="56" spans="1:14" x14ac:dyDescent="0.3">
      <c r="A56" s="106"/>
      <c r="B56" s="107"/>
      <c r="C56" s="107"/>
      <c r="D56" s="114"/>
      <c r="F56" s="103"/>
      <c r="G56" s="104"/>
      <c r="H56" s="109"/>
      <c r="I56" s="131"/>
      <c r="J56" s="131"/>
      <c r="K56" s="131"/>
      <c r="L56" s="131"/>
      <c r="M56" s="30"/>
      <c r="N56" s="16"/>
    </row>
    <row r="57" spans="1:14" x14ac:dyDescent="0.3">
      <c r="A57" s="106"/>
      <c r="B57" s="107"/>
      <c r="C57" s="107"/>
      <c r="D57" s="113"/>
      <c r="F57" s="103"/>
      <c r="G57" s="104"/>
      <c r="H57" s="109"/>
      <c r="I57" s="131"/>
      <c r="J57" s="131"/>
      <c r="K57" s="131"/>
      <c r="L57" s="131"/>
      <c r="M57" s="30"/>
      <c r="N57" s="16"/>
    </row>
    <row r="58" spans="1:14" x14ac:dyDescent="0.3">
      <c r="A58" s="106"/>
      <c r="B58" s="107"/>
      <c r="C58" s="107"/>
      <c r="D58" s="114"/>
      <c r="F58" s="103"/>
      <c r="G58" s="104"/>
      <c r="H58" s="109"/>
      <c r="I58" s="131"/>
      <c r="J58" s="131"/>
      <c r="K58" s="131"/>
      <c r="L58" s="131"/>
      <c r="M58" s="30"/>
      <c r="N58" s="16"/>
    </row>
    <row r="59" spans="1:14" x14ac:dyDescent="0.3">
      <c r="A59" s="106"/>
      <c r="B59" s="107"/>
      <c r="C59" s="107"/>
      <c r="D59" s="113"/>
      <c r="F59" s="103"/>
      <c r="G59" s="104"/>
      <c r="H59" s="109"/>
      <c r="I59" s="131"/>
      <c r="J59" s="190"/>
      <c r="K59" s="190"/>
      <c r="L59" s="131"/>
      <c r="M59" s="30"/>
      <c r="N59" s="16"/>
    </row>
    <row r="60" spans="1:14" x14ac:dyDescent="0.3">
      <c r="A60" s="106"/>
      <c r="B60" s="107"/>
      <c r="C60" s="107"/>
      <c r="D60" s="114"/>
      <c r="F60" s="103"/>
      <c r="G60" s="104"/>
      <c r="H60" s="109"/>
      <c r="I60" s="189"/>
      <c r="J60" s="189"/>
      <c r="K60" s="189"/>
      <c r="L60" s="189"/>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78" t="s">
        <v>56</v>
      </c>
      <c r="B65" s="179"/>
      <c r="C65" s="179"/>
      <c r="D65" s="96">
        <f>SUM(Pest_80[Amount])</f>
        <v>0</v>
      </c>
      <c r="F65" s="173" t="s">
        <v>33</v>
      </c>
      <c r="G65" s="174"/>
      <c r="H65" s="174"/>
    </row>
    <row r="66" spans="1:8" x14ac:dyDescent="0.3">
      <c r="F66" s="173"/>
      <c r="G66" s="174"/>
      <c r="H66" s="174"/>
    </row>
    <row r="67" spans="1:8" ht="17.399999999999999" x14ac:dyDescent="0.3">
      <c r="A67" s="198" t="s">
        <v>69</v>
      </c>
      <c r="B67" s="198"/>
      <c r="C67" s="198"/>
      <c r="D67" s="198"/>
      <c r="E67" s="17"/>
      <c r="F67" s="183" t="s">
        <v>57</v>
      </c>
      <c r="G67" s="184"/>
      <c r="H67" s="185"/>
    </row>
    <row r="68" spans="1:8" x14ac:dyDescent="0.3">
      <c r="A68" s="21" t="s">
        <v>21</v>
      </c>
      <c r="B68" s="22" t="s">
        <v>22</v>
      </c>
      <c r="C68" s="22" t="s">
        <v>23</v>
      </c>
      <c r="D68" s="23" t="s">
        <v>25</v>
      </c>
      <c r="E68" s="24"/>
      <c r="F68" s="186"/>
      <c r="G68" s="187"/>
      <c r="H68" s="188"/>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78" t="s">
        <v>58</v>
      </c>
      <c r="B84" s="179"/>
      <c r="C84" s="179"/>
      <c r="D84" s="96">
        <f>SUM(Garbage_80[Amount])</f>
        <v>0</v>
      </c>
      <c r="E84" s="34"/>
      <c r="F84" s="173" t="s">
        <v>33</v>
      </c>
      <c r="G84" s="174"/>
      <c r="H84" s="174"/>
    </row>
    <row r="85" spans="1:8" x14ac:dyDescent="0.3">
      <c r="A85" s="38"/>
      <c r="B85" s="38"/>
      <c r="C85" s="38"/>
      <c r="D85" s="39"/>
      <c r="E85" s="40"/>
      <c r="F85" s="173"/>
      <c r="G85" s="174"/>
      <c r="H85" s="174"/>
    </row>
    <row r="86" spans="1:8" ht="17.399999999999999" x14ac:dyDescent="0.3">
      <c r="A86" s="191" t="s">
        <v>59</v>
      </c>
      <c r="B86" s="192"/>
      <c r="C86" s="192"/>
      <c r="D86" s="193"/>
      <c r="E86" s="17"/>
      <c r="F86" s="183" t="s">
        <v>60</v>
      </c>
      <c r="G86" s="184"/>
      <c r="H86" s="185"/>
    </row>
    <row r="87" spans="1:8" x14ac:dyDescent="0.3">
      <c r="A87" s="21" t="s">
        <v>21</v>
      </c>
      <c r="B87" s="22" t="s">
        <v>22</v>
      </c>
      <c r="C87" s="22" t="s">
        <v>23</v>
      </c>
      <c r="D87" s="23" t="s">
        <v>25</v>
      </c>
      <c r="E87" s="41"/>
      <c r="F87" s="186"/>
      <c r="G87" s="187"/>
      <c r="H87" s="188"/>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78" t="s">
        <v>61</v>
      </c>
      <c r="B103" s="179"/>
      <c r="C103" s="179"/>
      <c r="D103" s="96">
        <f>SUM(Boarding_80[Amount])</f>
        <v>0</v>
      </c>
      <c r="E103" s="34"/>
      <c r="F103" s="173" t="s">
        <v>33</v>
      </c>
      <c r="G103" s="174"/>
      <c r="H103" s="174"/>
    </row>
    <row r="104" spans="1:8" x14ac:dyDescent="0.3">
      <c r="A104" s="38"/>
      <c r="B104" s="38"/>
      <c r="C104" s="38"/>
      <c r="D104" s="39"/>
      <c r="E104" s="40"/>
      <c r="F104" s="173"/>
      <c r="G104" s="174"/>
      <c r="H104" s="174"/>
    </row>
    <row r="105" spans="1:8" ht="17.399999999999999" x14ac:dyDescent="0.3">
      <c r="A105" s="191" t="s">
        <v>70</v>
      </c>
      <c r="B105" s="192"/>
      <c r="C105" s="192"/>
      <c r="D105" s="193"/>
      <c r="E105" s="17"/>
      <c r="F105" s="183" t="s">
        <v>62</v>
      </c>
      <c r="G105" s="184"/>
      <c r="H105" s="185"/>
    </row>
    <row r="106" spans="1:8" x14ac:dyDescent="0.3">
      <c r="A106" s="21" t="s">
        <v>21</v>
      </c>
      <c r="B106" s="22" t="s">
        <v>22</v>
      </c>
      <c r="C106" s="22" t="s">
        <v>23</v>
      </c>
      <c r="D106" s="23" t="s">
        <v>25</v>
      </c>
      <c r="E106" s="41"/>
      <c r="F106" s="186"/>
      <c r="G106" s="187"/>
      <c r="H106" s="188"/>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78" t="s">
        <v>63</v>
      </c>
      <c r="B122" s="179"/>
      <c r="C122" s="179"/>
      <c r="D122" s="96">
        <f>SUM(Fence_80[Amount])</f>
        <v>0</v>
      </c>
      <c r="E122" s="34"/>
      <c r="F122" s="173" t="s">
        <v>33</v>
      </c>
      <c r="G122" s="174"/>
      <c r="H122" s="174"/>
    </row>
    <row r="123" spans="1:8" x14ac:dyDescent="0.3">
      <c r="F123" s="173"/>
      <c r="G123" s="174"/>
      <c r="H123" s="174"/>
    </row>
    <row r="124" spans="1:8" ht="17.399999999999999" x14ac:dyDescent="0.3">
      <c r="A124" s="191" t="s">
        <v>26</v>
      </c>
      <c r="B124" s="192"/>
      <c r="C124" s="192"/>
      <c r="D124" s="193"/>
      <c r="E124" s="17"/>
      <c r="F124" s="183" t="s">
        <v>11</v>
      </c>
      <c r="G124" s="184"/>
      <c r="H124" s="185"/>
    </row>
    <row r="125" spans="1:8" x14ac:dyDescent="0.3">
      <c r="A125" s="21" t="s">
        <v>21</v>
      </c>
      <c r="B125" s="22" t="s">
        <v>22</v>
      </c>
      <c r="C125" s="22" t="s">
        <v>23</v>
      </c>
      <c r="D125" s="23" t="s">
        <v>25</v>
      </c>
      <c r="E125" s="41"/>
      <c r="F125" s="186"/>
      <c r="G125" s="187"/>
      <c r="H125" s="188"/>
    </row>
    <row r="126" spans="1:8" x14ac:dyDescent="0.3">
      <c r="A126" s="100"/>
      <c r="B126" s="101"/>
      <c r="C126" s="101"/>
      <c r="D126" s="112">
        <v>15010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78" t="s">
        <v>27</v>
      </c>
      <c r="B141" s="179"/>
      <c r="C141" s="179"/>
      <c r="D141" s="96">
        <f>SUM(Demolition_80[Amount])</f>
        <v>15010</v>
      </c>
      <c r="E141" s="34"/>
      <c r="F141" s="173" t="s">
        <v>33</v>
      </c>
      <c r="G141" s="174"/>
      <c r="H141" s="174"/>
    </row>
    <row r="142" spans="1:8" x14ac:dyDescent="0.3">
      <c r="A142" s="38"/>
      <c r="B142" s="38"/>
      <c r="C142" s="38"/>
      <c r="D142" s="39"/>
      <c r="E142" s="40"/>
      <c r="F142" s="173"/>
      <c r="G142" s="174"/>
      <c r="H142" s="174"/>
    </row>
    <row r="143" spans="1:8" ht="17.399999999999999" x14ac:dyDescent="0.3">
      <c r="A143" s="191" t="s">
        <v>64</v>
      </c>
      <c r="B143" s="192"/>
      <c r="C143" s="192"/>
      <c r="D143" s="193"/>
      <c r="E143" s="17"/>
      <c r="F143" s="183" t="s">
        <v>44</v>
      </c>
      <c r="G143" s="184"/>
      <c r="H143" s="185"/>
    </row>
    <row r="144" spans="1:8" x14ac:dyDescent="0.3">
      <c r="A144" s="21" t="s">
        <v>21</v>
      </c>
      <c r="B144" s="22" t="s">
        <v>22</v>
      </c>
      <c r="C144" s="22" t="s">
        <v>23</v>
      </c>
      <c r="D144" s="23" t="s">
        <v>25</v>
      </c>
      <c r="E144" s="41"/>
      <c r="F144" s="186"/>
      <c r="G144" s="187"/>
      <c r="H144" s="188"/>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78" t="s">
        <v>65</v>
      </c>
      <c r="B160" s="179"/>
      <c r="C160" s="179"/>
      <c r="D160" s="96">
        <f>SUM(Rehab_80[Amount])</f>
        <v>0</v>
      </c>
      <c r="E160" s="34"/>
      <c r="F160" s="173" t="s">
        <v>33</v>
      </c>
      <c r="G160" s="174"/>
      <c r="H160" s="174"/>
    </row>
    <row r="161" spans="6:8" x14ac:dyDescent="0.3">
      <c r="F161" s="173"/>
      <c r="G161" s="174"/>
      <c r="H161" s="174"/>
    </row>
  </sheetData>
  <sheetProtection algorithmName="SHA-512" hashValue="voG5yHhCo+klR+N/KHiCgDcQ0va9dwlt6jAsd/ggwPbuORj4ki0xeXZEffsnh1l7yS2ZsYThGiBE2Iw8UMNwqg==" saltValue="TGDJBV+yPDcTW8qQ6gA7Sg=="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61"/>
  <sheetViews>
    <sheetView showGridLines="0" zoomScaleNormal="100" workbookViewId="0">
      <pane ySplit="9" topLeftCell="A110"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5" t="s">
        <v>24</v>
      </c>
      <c r="B1" s="175"/>
      <c r="C1" s="175"/>
      <c r="D1" s="175"/>
      <c r="E1" s="1"/>
      <c r="F1" s="2"/>
      <c r="G1" s="2"/>
      <c r="H1" s="1"/>
    </row>
    <row r="2" spans="1:14" ht="24.9" customHeight="1" x14ac:dyDescent="0.3">
      <c r="A2" s="176" t="s">
        <v>71</v>
      </c>
      <c r="B2" s="176"/>
      <c r="C2" s="176"/>
      <c r="D2" s="176"/>
      <c r="E2" s="4"/>
      <c r="F2" s="130"/>
      <c r="G2" s="130"/>
      <c r="H2" s="5"/>
    </row>
    <row r="3" spans="1:14" ht="31.5" customHeight="1" x14ac:dyDescent="0.3">
      <c r="A3" s="176"/>
      <c r="B3" s="176"/>
      <c r="C3" s="176"/>
      <c r="D3" s="176"/>
      <c r="E3" s="4"/>
      <c r="F3" s="130"/>
      <c r="G3" s="130"/>
      <c r="H3" s="5"/>
    </row>
    <row r="4" spans="1:14" ht="15" customHeight="1" x14ac:dyDescent="0.25">
      <c r="A4" s="75" t="s">
        <v>19</v>
      </c>
      <c r="B4" s="194" t="str">
        <f>IF('Summary Sheet'!B113="","",'Summary Sheet'!B113)</f>
        <v>312 W 112TH PL</v>
      </c>
      <c r="C4" s="194"/>
      <c r="D4" s="130"/>
      <c r="E4" s="4"/>
      <c r="F4" s="130"/>
      <c r="G4" s="130"/>
      <c r="H4" s="5"/>
    </row>
    <row r="5" spans="1:14" ht="15" customHeight="1" x14ac:dyDescent="0.25">
      <c r="A5" s="75" t="s">
        <v>20</v>
      </c>
      <c r="B5" s="195" t="str">
        <f>IF('Summary Sheet'!C113="","",'Summary Sheet'!C113)</f>
        <v/>
      </c>
      <c r="C5" s="195"/>
      <c r="D5" s="130"/>
      <c r="E5" s="4"/>
      <c r="F5" s="130"/>
      <c r="G5" s="130"/>
      <c r="H5" s="5"/>
    </row>
    <row r="6" spans="1:14" ht="15" customHeight="1" x14ac:dyDescent="0.25">
      <c r="A6" s="75" t="s">
        <v>36</v>
      </c>
      <c r="B6" s="177"/>
      <c r="C6" s="177"/>
      <c r="D6" s="6"/>
      <c r="E6" s="7"/>
    </row>
    <row r="7" spans="1:14" ht="15" customHeight="1" x14ac:dyDescent="0.25">
      <c r="A7" s="7"/>
      <c r="B7" s="196" t="s">
        <v>34</v>
      </c>
      <c r="C7" s="196"/>
      <c r="D7" s="10"/>
    </row>
    <row r="8" spans="1:14" ht="20.100000000000001" customHeight="1" x14ac:dyDescent="0.25">
      <c r="B8" s="11"/>
      <c r="C8" s="11"/>
      <c r="D8" s="12" t="s">
        <v>31</v>
      </c>
      <c r="F8" s="180" t="s">
        <v>32</v>
      </c>
      <c r="G8" s="181"/>
      <c r="H8" s="182"/>
    </row>
    <row r="9" spans="1:14" s="14" customFormat="1" ht="20.100000000000001" customHeight="1" x14ac:dyDescent="0.25">
      <c r="A9" s="197"/>
      <c r="B9" s="197"/>
      <c r="C9" s="197"/>
      <c r="D9" s="13">
        <f>SUM(D27,D46,D65,D84,D103,D122,D141,D160)</f>
        <v>15910</v>
      </c>
      <c r="F9" s="15" t="s">
        <v>28</v>
      </c>
      <c r="G9" s="15" t="s">
        <v>29</v>
      </c>
      <c r="H9" s="15" t="s">
        <v>30</v>
      </c>
      <c r="I9" s="16"/>
      <c r="J9" s="16"/>
      <c r="K9" s="16"/>
      <c r="L9" s="16"/>
      <c r="M9" s="16"/>
      <c r="N9" s="16"/>
    </row>
    <row r="10" spans="1:14" s="17" customFormat="1" ht="23.1" customHeight="1" x14ac:dyDescent="0.3">
      <c r="A10" s="198" t="s">
        <v>51</v>
      </c>
      <c r="B10" s="198"/>
      <c r="C10" s="198"/>
      <c r="D10" s="198"/>
      <c r="F10" s="183" t="s">
        <v>66</v>
      </c>
      <c r="G10" s="184"/>
      <c r="H10" s="185"/>
      <c r="I10" s="18"/>
      <c r="J10" s="18"/>
      <c r="K10" s="18"/>
      <c r="L10" s="18"/>
      <c r="M10" s="19"/>
      <c r="N10" s="20"/>
    </row>
    <row r="11" spans="1:14" s="24" customFormat="1" ht="12.75" customHeight="1" x14ac:dyDescent="0.25">
      <c r="A11" s="21" t="s">
        <v>21</v>
      </c>
      <c r="B11" s="22" t="s">
        <v>22</v>
      </c>
      <c r="C11" s="22" t="s">
        <v>23</v>
      </c>
      <c r="D11" s="23" t="s">
        <v>25</v>
      </c>
      <c r="F11" s="186"/>
      <c r="G11" s="187"/>
      <c r="H11" s="188"/>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78" t="s">
        <v>53</v>
      </c>
      <c r="B27" s="179"/>
      <c r="C27" s="179"/>
      <c r="D27" s="96">
        <f>SUM(Grass_81[Amount])</f>
        <v>0</v>
      </c>
      <c r="F27" s="173" t="s">
        <v>33</v>
      </c>
      <c r="G27" s="174"/>
      <c r="H27" s="174"/>
      <c r="I27" s="35"/>
      <c r="J27" s="35"/>
      <c r="K27" s="35"/>
      <c r="L27" s="35"/>
      <c r="M27" s="36"/>
      <c r="N27" s="37"/>
    </row>
    <row r="28" spans="1:14" s="40" customFormat="1" ht="11.1" customHeight="1" x14ac:dyDescent="0.3">
      <c r="A28" s="38"/>
      <c r="B28" s="38"/>
      <c r="C28" s="38"/>
      <c r="D28" s="39"/>
      <c r="F28" s="173"/>
      <c r="G28" s="174"/>
      <c r="H28" s="174"/>
      <c r="I28" s="35"/>
      <c r="J28" s="35"/>
      <c r="K28" s="35"/>
      <c r="L28" s="35"/>
      <c r="M28" s="36"/>
      <c r="N28" s="37"/>
    </row>
    <row r="29" spans="1:14" s="17" customFormat="1" ht="23.1" customHeight="1" x14ac:dyDescent="0.3">
      <c r="A29" s="191" t="s">
        <v>67</v>
      </c>
      <c r="B29" s="192"/>
      <c r="C29" s="192"/>
      <c r="D29" s="193"/>
      <c r="F29" s="183" t="s">
        <v>52</v>
      </c>
      <c r="G29" s="184"/>
      <c r="H29" s="185"/>
      <c r="I29" s="18"/>
      <c r="J29" s="18"/>
      <c r="K29" s="18"/>
      <c r="L29" s="18"/>
      <c r="M29" s="19"/>
      <c r="N29" s="20"/>
    </row>
    <row r="30" spans="1:14" s="41" customFormat="1" ht="12.75" customHeight="1" x14ac:dyDescent="0.25">
      <c r="A30" s="21" t="s">
        <v>21</v>
      </c>
      <c r="B30" s="22" t="s">
        <v>22</v>
      </c>
      <c r="C30" s="22" t="s">
        <v>23</v>
      </c>
      <c r="D30" s="23" t="s">
        <v>25</v>
      </c>
      <c r="F30" s="186"/>
      <c r="G30" s="187"/>
      <c r="H30" s="188"/>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31"/>
      <c r="J44" s="29"/>
      <c r="K44" s="29"/>
      <c r="L44" s="131"/>
      <c r="M44" s="30"/>
      <c r="N44" s="16"/>
    </row>
    <row r="45" spans="1:14" x14ac:dyDescent="0.3">
      <c r="A45" s="106"/>
      <c r="B45" s="107"/>
      <c r="C45" s="107"/>
      <c r="D45" s="114"/>
      <c r="F45" s="103"/>
      <c r="G45" s="104"/>
      <c r="H45" s="109"/>
      <c r="I45" s="131"/>
      <c r="J45" s="29"/>
      <c r="K45" s="29"/>
      <c r="L45" s="131"/>
      <c r="M45" s="30"/>
      <c r="N45" s="16"/>
    </row>
    <row r="46" spans="1:14" s="34" customFormat="1" x14ac:dyDescent="0.3">
      <c r="A46" s="178" t="s">
        <v>54</v>
      </c>
      <c r="B46" s="179"/>
      <c r="C46" s="179"/>
      <c r="D46" s="96">
        <f>SUM(Tree_81[Amount])</f>
        <v>0</v>
      </c>
      <c r="F46" s="173" t="s">
        <v>33</v>
      </c>
      <c r="G46" s="174"/>
      <c r="H46" s="174"/>
      <c r="I46" s="43"/>
      <c r="J46" s="43"/>
      <c r="K46" s="43"/>
      <c r="L46" s="43"/>
      <c r="M46" s="36"/>
      <c r="N46" s="37"/>
    </row>
    <row r="47" spans="1:14" s="40" customFormat="1" ht="11.1" customHeight="1" x14ac:dyDescent="0.3">
      <c r="A47" s="38"/>
      <c r="B47" s="38"/>
      <c r="C47" s="38"/>
      <c r="D47" s="39"/>
      <c r="F47" s="173"/>
      <c r="G47" s="174"/>
      <c r="H47" s="174"/>
      <c r="I47" s="43"/>
      <c r="J47" s="43"/>
      <c r="K47" s="43"/>
      <c r="L47" s="43"/>
      <c r="M47" s="36"/>
      <c r="N47" s="37"/>
    </row>
    <row r="48" spans="1:14" s="17" customFormat="1" ht="23.1" customHeight="1" x14ac:dyDescent="0.3">
      <c r="A48" s="191" t="s">
        <v>68</v>
      </c>
      <c r="B48" s="192"/>
      <c r="C48" s="192"/>
      <c r="D48" s="193"/>
      <c r="F48" s="183" t="s">
        <v>55</v>
      </c>
      <c r="G48" s="184"/>
      <c r="H48" s="185"/>
      <c r="I48" s="44"/>
      <c r="J48" s="44"/>
      <c r="K48" s="44"/>
      <c r="L48" s="44"/>
      <c r="M48" s="19"/>
      <c r="N48" s="20"/>
    </row>
    <row r="49" spans="1:14" s="41" customFormat="1" ht="12.75" customHeight="1" x14ac:dyDescent="0.25">
      <c r="A49" s="21" t="s">
        <v>21</v>
      </c>
      <c r="B49" s="22" t="s">
        <v>22</v>
      </c>
      <c r="C49" s="22" t="s">
        <v>23</v>
      </c>
      <c r="D49" s="23" t="s">
        <v>25</v>
      </c>
      <c r="F49" s="186"/>
      <c r="G49" s="187"/>
      <c r="H49" s="188"/>
      <c r="I49" s="131"/>
      <c r="J49" s="131"/>
      <c r="K49" s="131"/>
      <c r="L49" s="131"/>
      <c r="M49" s="30"/>
      <c r="N49" s="42"/>
    </row>
    <row r="50" spans="1:14" x14ac:dyDescent="0.3">
      <c r="A50" s="100"/>
      <c r="B50" s="101"/>
      <c r="C50" s="101"/>
      <c r="D50" s="112"/>
      <c r="F50" s="103"/>
      <c r="G50" s="104"/>
      <c r="H50" s="109"/>
      <c r="I50" s="131"/>
      <c r="J50" s="131"/>
      <c r="K50" s="131"/>
      <c r="L50" s="131"/>
      <c r="M50" s="30"/>
      <c r="N50" s="16"/>
    </row>
    <row r="51" spans="1:14" x14ac:dyDescent="0.3">
      <c r="A51" s="106"/>
      <c r="B51" s="107"/>
      <c r="C51" s="107"/>
      <c r="D51" s="113"/>
      <c r="F51" s="103"/>
      <c r="G51" s="104"/>
      <c r="H51" s="109"/>
      <c r="I51" s="131"/>
      <c r="J51" s="131"/>
      <c r="K51" s="131"/>
      <c r="L51" s="131"/>
      <c r="M51" s="30"/>
      <c r="N51" s="16"/>
    </row>
    <row r="52" spans="1:14" x14ac:dyDescent="0.3">
      <c r="A52" s="106"/>
      <c r="B52" s="107"/>
      <c r="C52" s="107"/>
      <c r="D52" s="114"/>
      <c r="F52" s="103"/>
      <c r="H52" s="109"/>
      <c r="I52" s="131"/>
      <c r="J52" s="131"/>
      <c r="K52" s="131"/>
      <c r="L52" s="131"/>
      <c r="M52" s="30"/>
      <c r="N52" s="16"/>
    </row>
    <row r="53" spans="1:14" x14ac:dyDescent="0.3">
      <c r="A53" s="106"/>
      <c r="B53" s="107"/>
      <c r="C53" s="107"/>
      <c r="D53" s="113"/>
      <c r="F53" s="103"/>
      <c r="G53" s="104"/>
      <c r="H53" s="109"/>
      <c r="I53" s="131"/>
      <c r="J53" s="131"/>
      <c r="K53" s="131"/>
      <c r="L53" s="131"/>
      <c r="M53" s="30"/>
      <c r="N53" s="16"/>
    </row>
    <row r="54" spans="1:14" x14ac:dyDescent="0.3">
      <c r="A54" s="106"/>
      <c r="B54" s="107"/>
      <c r="C54" s="107"/>
      <c r="D54" s="114"/>
      <c r="F54" s="103"/>
      <c r="G54" s="104"/>
      <c r="H54" s="109"/>
      <c r="I54" s="131"/>
      <c r="J54" s="131"/>
      <c r="K54" s="131"/>
      <c r="L54" s="131"/>
      <c r="M54" s="30"/>
      <c r="N54" s="16"/>
    </row>
    <row r="55" spans="1:14" x14ac:dyDescent="0.3">
      <c r="A55" s="106"/>
      <c r="B55" s="107"/>
      <c r="C55" s="107"/>
      <c r="D55" s="113"/>
      <c r="F55" s="103"/>
      <c r="G55" s="104"/>
      <c r="H55" s="109"/>
      <c r="I55" s="131"/>
      <c r="J55" s="131"/>
      <c r="K55" s="131"/>
      <c r="L55" s="131"/>
      <c r="M55" s="30"/>
      <c r="N55" s="16"/>
    </row>
    <row r="56" spans="1:14" x14ac:dyDescent="0.3">
      <c r="A56" s="106"/>
      <c r="B56" s="107"/>
      <c r="C56" s="107"/>
      <c r="D56" s="114"/>
      <c r="F56" s="103"/>
      <c r="G56" s="104"/>
      <c r="H56" s="109"/>
      <c r="I56" s="131"/>
      <c r="J56" s="131"/>
      <c r="K56" s="131"/>
      <c r="L56" s="131"/>
      <c r="M56" s="30"/>
      <c r="N56" s="16"/>
    </row>
    <row r="57" spans="1:14" x14ac:dyDescent="0.3">
      <c r="A57" s="106"/>
      <c r="B57" s="107"/>
      <c r="C57" s="107"/>
      <c r="D57" s="113"/>
      <c r="F57" s="103"/>
      <c r="G57" s="104"/>
      <c r="H57" s="109"/>
      <c r="I57" s="131"/>
      <c r="J57" s="131"/>
      <c r="K57" s="131"/>
      <c r="L57" s="131"/>
      <c r="M57" s="30"/>
      <c r="N57" s="16"/>
    </row>
    <row r="58" spans="1:14" x14ac:dyDescent="0.3">
      <c r="A58" s="106"/>
      <c r="B58" s="107"/>
      <c r="C58" s="107"/>
      <c r="D58" s="114"/>
      <c r="F58" s="103"/>
      <c r="G58" s="104"/>
      <c r="H58" s="109"/>
      <c r="I58" s="131"/>
      <c r="J58" s="131"/>
      <c r="K58" s="131"/>
      <c r="L58" s="131"/>
      <c r="M58" s="30"/>
      <c r="N58" s="16"/>
    </row>
    <row r="59" spans="1:14" x14ac:dyDescent="0.3">
      <c r="A59" s="106"/>
      <c r="B59" s="107"/>
      <c r="C59" s="107"/>
      <c r="D59" s="113"/>
      <c r="F59" s="103"/>
      <c r="G59" s="104"/>
      <c r="H59" s="109"/>
      <c r="I59" s="131"/>
      <c r="J59" s="190"/>
      <c r="K59" s="190"/>
      <c r="L59" s="131"/>
      <c r="M59" s="30"/>
      <c r="N59" s="16"/>
    </row>
    <row r="60" spans="1:14" x14ac:dyDescent="0.3">
      <c r="A60" s="106"/>
      <c r="B60" s="107"/>
      <c r="C60" s="107"/>
      <c r="D60" s="114"/>
      <c r="F60" s="103"/>
      <c r="G60" s="104"/>
      <c r="H60" s="109"/>
      <c r="I60" s="189"/>
      <c r="J60" s="189"/>
      <c r="K60" s="189"/>
      <c r="L60" s="189"/>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78" t="s">
        <v>56</v>
      </c>
      <c r="B65" s="179"/>
      <c r="C65" s="179"/>
      <c r="D65" s="96">
        <f>SUM(Pest_81[Amount])</f>
        <v>0</v>
      </c>
      <c r="F65" s="173" t="s">
        <v>33</v>
      </c>
      <c r="G65" s="174"/>
      <c r="H65" s="174"/>
    </row>
    <row r="66" spans="1:8" x14ac:dyDescent="0.3">
      <c r="F66" s="173"/>
      <c r="G66" s="174"/>
      <c r="H66" s="174"/>
    </row>
    <row r="67" spans="1:8" ht="17.399999999999999" x14ac:dyDescent="0.3">
      <c r="A67" s="198" t="s">
        <v>69</v>
      </c>
      <c r="B67" s="198"/>
      <c r="C67" s="198"/>
      <c r="D67" s="198"/>
      <c r="E67" s="17"/>
      <c r="F67" s="183" t="s">
        <v>57</v>
      </c>
      <c r="G67" s="184"/>
      <c r="H67" s="185"/>
    </row>
    <row r="68" spans="1:8" x14ac:dyDescent="0.3">
      <c r="A68" s="21" t="s">
        <v>21</v>
      </c>
      <c r="B68" s="22" t="s">
        <v>22</v>
      </c>
      <c r="C68" s="22" t="s">
        <v>23</v>
      </c>
      <c r="D68" s="23" t="s">
        <v>25</v>
      </c>
      <c r="E68" s="24"/>
      <c r="F68" s="186"/>
      <c r="G68" s="187"/>
      <c r="H68" s="188"/>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78" t="s">
        <v>58</v>
      </c>
      <c r="B84" s="179"/>
      <c r="C84" s="179"/>
      <c r="D84" s="96">
        <f>SUM(Garbage_81[Amount])</f>
        <v>0</v>
      </c>
      <c r="E84" s="34"/>
      <c r="F84" s="173" t="s">
        <v>33</v>
      </c>
      <c r="G84" s="174"/>
      <c r="H84" s="174"/>
    </row>
    <row r="85" spans="1:8" x14ac:dyDescent="0.3">
      <c r="A85" s="38"/>
      <c r="B85" s="38"/>
      <c r="C85" s="38"/>
      <c r="D85" s="39"/>
      <c r="E85" s="40"/>
      <c r="F85" s="173"/>
      <c r="G85" s="174"/>
      <c r="H85" s="174"/>
    </row>
    <row r="86" spans="1:8" ht="17.399999999999999" x14ac:dyDescent="0.3">
      <c r="A86" s="191" t="s">
        <v>59</v>
      </c>
      <c r="B86" s="192"/>
      <c r="C86" s="192"/>
      <c r="D86" s="193"/>
      <c r="E86" s="17"/>
      <c r="F86" s="183" t="s">
        <v>60</v>
      </c>
      <c r="G86" s="184"/>
      <c r="H86" s="185"/>
    </row>
    <row r="87" spans="1:8" x14ac:dyDescent="0.3">
      <c r="A87" s="21" t="s">
        <v>21</v>
      </c>
      <c r="B87" s="22" t="s">
        <v>22</v>
      </c>
      <c r="C87" s="22" t="s">
        <v>23</v>
      </c>
      <c r="D87" s="23" t="s">
        <v>25</v>
      </c>
      <c r="E87" s="41"/>
      <c r="F87" s="186"/>
      <c r="G87" s="187"/>
      <c r="H87" s="188"/>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78" t="s">
        <v>61</v>
      </c>
      <c r="B103" s="179"/>
      <c r="C103" s="179"/>
      <c r="D103" s="96">
        <f>SUM(Boarding_81[Amount])</f>
        <v>0</v>
      </c>
      <c r="E103" s="34"/>
      <c r="F103" s="173" t="s">
        <v>33</v>
      </c>
      <c r="G103" s="174"/>
      <c r="H103" s="174"/>
    </row>
    <row r="104" spans="1:8" x14ac:dyDescent="0.3">
      <c r="A104" s="38"/>
      <c r="B104" s="38"/>
      <c r="C104" s="38"/>
      <c r="D104" s="39"/>
      <c r="E104" s="40"/>
      <c r="F104" s="173"/>
      <c r="G104" s="174"/>
      <c r="H104" s="174"/>
    </row>
    <row r="105" spans="1:8" ht="17.399999999999999" x14ac:dyDescent="0.3">
      <c r="A105" s="191" t="s">
        <v>70</v>
      </c>
      <c r="B105" s="192"/>
      <c r="C105" s="192"/>
      <c r="D105" s="193"/>
      <c r="E105" s="17"/>
      <c r="F105" s="183" t="s">
        <v>62</v>
      </c>
      <c r="G105" s="184"/>
      <c r="H105" s="185"/>
    </row>
    <row r="106" spans="1:8" x14ac:dyDescent="0.3">
      <c r="A106" s="21" t="s">
        <v>21</v>
      </c>
      <c r="B106" s="22" t="s">
        <v>22</v>
      </c>
      <c r="C106" s="22" t="s">
        <v>23</v>
      </c>
      <c r="D106" s="23" t="s">
        <v>25</v>
      </c>
      <c r="E106" s="41"/>
      <c r="F106" s="186"/>
      <c r="G106" s="187"/>
      <c r="H106" s="188"/>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78" t="s">
        <v>63</v>
      </c>
      <c r="B122" s="179"/>
      <c r="C122" s="179"/>
      <c r="D122" s="96">
        <f>SUM(Fence_81[Amount])</f>
        <v>0</v>
      </c>
      <c r="E122" s="34"/>
      <c r="F122" s="173" t="s">
        <v>33</v>
      </c>
      <c r="G122" s="174"/>
      <c r="H122" s="174"/>
    </row>
    <row r="123" spans="1:8" x14ac:dyDescent="0.3">
      <c r="F123" s="173"/>
      <c r="G123" s="174"/>
      <c r="H123" s="174"/>
    </row>
    <row r="124" spans="1:8" ht="17.399999999999999" x14ac:dyDescent="0.3">
      <c r="A124" s="191" t="s">
        <v>26</v>
      </c>
      <c r="B124" s="192"/>
      <c r="C124" s="192"/>
      <c r="D124" s="193"/>
      <c r="E124" s="17"/>
      <c r="F124" s="183" t="s">
        <v>11</v>
      </c>
      <c r="G124" s="184"/>
      <c r="H124" s="185"/>
    </row>
    <row r="125" spans="1:8" x14ac:dyDescent="0.3">
      <c r="A125" s="21" t="s">
        <v>21</v>
      </c>
      <c r="B125" s="22" t="s">
        <v>22</v>
      </c>
      <c r="C125" s="22" t="s">
        <v>23</v>
      </c>
      <c r="D125" s="23" t="s">
        <v>25</v>
      </c>
      <c r="E125" s="41"/>
      <c r="F125" s="186"/>
      <c r="G125" s="187"/>
      <c r="H125" s="188"/>
    </row>
    <row r="126" spans="1:8" x14ac:dyDescent="0.3">
      <c r="A126" s="100"/>
      <c r="B126" s="101"/>
      <c r="C126" s="101"/>
      <c r="D126" s="112">
        <v>15910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78" t="s">
        <v>27</v>
      </c>
      <c r="B141" s="179"/>
      <c r="C141" s="179"/>
      <c r="D141" s="96">
        <f>SUM(Demolition_81[Amount])</f>
        <v>15910</v>
      </c>
      <c r="E141" s="34"/>
      <c r="F141" s="173" t="s">
        <v>33</v>
      </c>
      <c r="G141" s="174"/>
      <c r="H141" s="174"/>
    </row>
    <row r="142" spans="1:8" x14ac:dyDescent="0.3">
      <c r="A142" s="38"/>
      <c r="B142" s="38"/>
      <c r="C142" s="38"/>
      <c r="D142" s="39"/>
      <c r="E142" s="40"/>
      <c r="F142" s="173"/>
      <c r="G142" s="174"/>
      <c r="H142" s="174"/>
    </row>
    <row r="143" spans="1:8" ht="17.399999999999999" x14ac:dyDescent="0.3">
      <c r="A143" s="191" t="s">
        <v>64</v>
      </c>
      <c r="B143" s="192"/>
      <c r="C143" s="192"/>
      <c r="D143" s="193"/>
      <c r="E143" s="17"/>
      <c r="F143" s="183" t="s">
        <v>44</v>
      </c>
      <c r="G143" s="184"/>
      <c r="H143" s="185"/>
    </row>
    <row r="144" spans="1:8" x14ac:dyDescent="0.3">
      <c r="A144" s="21" t="s">
        <v>21</v>
      </c>
      <c r="B144" s="22" t="s">
        <v>22</v>
      </c>
      <c r="C144" s="22" t="s">
        <v>23</v>
      </c>
      <c r="D144" s="23" t="s">
        <v>25</v>
      </c>
      <c r="E144" s="41"/>
      <c r="F144" s="186"/>
      <c r="G144" s="187"/>
      <c r="H144" s="188"/>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78" t="s">
        <v>65</v>
      </c>
      <c r="B160" s="179"/>
      <c r="C160" s="179"/>
      <c r="D160" s="96">
        <f>SUM(Rehab_81[Amount])</f>
        <v>0</v>
      </c>
      <c r="E160" s="34"/>
      <c r="F160" s="173" t="s">
        <v>33</v>
      </c>
      <c r="G160" s="174"/>
      <c r="H160" s="174"/>
    </row>
    <row r="161" spans="6:8" x14ac:dyDescent="0.3">
      <c r="F161" s="173"/>
      <c r="G161" s="174"/>
      <c r="H161" s="174"/>
    </row>
  </sheetData>
  <sheetProtection algorithmName="SHA-512" hashValue="jfIZDzJ4ZD18hONFxbaQW4fmUkmdu4c6Y7vewxFsK7MuzFYDjS6izCpCbrs+ACPiHhXoxwXqjlwn4RvJI4PbnA==" saltValue="Hrdjh5KVZeRcitTzvks7Qg=="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61"/>
  <sheetViews>
    <sheetView showGridLines="0" zoomScaleNormal="100" workbookViewId="0">
      <pane ySplit="9" topLeftCell="A115"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5" t="s">
        <v>24</v>
      </c>
      <c r="B1" s="175"/>
      <c r="C1" s="175"/>
      <c r="D1" s="175"/>
      <c r="E1" s="1"/>
      <c r="F1" s="2"/>
      <c r="G1" s="2"/>
      <c r="H1" s="1"/>
    </row>
    <row r="2" spans="1:14" ht="24.9" customHeight="1" x14ac:dyDescent="0.3">
      <c r="A2" s="176" t="s">
        <v>71</v>
      </c>
      <c r="B2" s="176"/>
      <c r="C2" s="176"/>
      <c r="D2" s="176"/>
      <c r="E2" s="4"/>
      <c r="F2" s="130"/>
      <c r="G2" s="130"/>
      <c r="H2" s="5"/>
    </row>
    <row r="3" spans="1:14" ht="31.5" customHeight="1" x14ac:dyDescent="0.3">
      <c r="A3" s="176"/>
      <c r="B3" s="176"/>
      <c r="C3" s="176"/>
      <c r="D3" s="176"/>
      <c r="E3" s="4"/>
      <c r="F3" s="130"/>
      <c r="G3" s="130"/>
      <c r="H3" s="5"/>
    </row>
    <row r="4" spans="1:14" ht="15" customHeight="1" x14ac:dyDescent="0.25">
      <c r="A4" s="75" t="s">
        <v>19</v>
      </c>
      <c r="B4" s="194" t="str">
        <f>IF('Summary Sheet'!B114="","",'Summary Sheet'!B114)</f>
        <v>314 W 115TH ST</v>
      </c>
      <c r="C4" s="194"/>
      <c r="D4" s="130"/>
      <c r="E4" s="4"/>
      <c r="F4" s="130"/>
      <c r="G4" s="130"/>
      <c r="H4" s="5"/>
    </row>
    <row r="5" spans="1:14" ht="15" customHeight="1" x14ac:dyDescent="0.25">
      <c r="A5" s="75" t="s">
        <v>20</v>
      </c>
      <c r="B5" s="195" t="str">
        <f>IF('Summary Sheet'!C114="","",'Summary Sheet'!C114)</f>
        <v/>
      </c>
      <c r="C5" s="195"/>
      <c r="D5" s="130"/>
      <c r="E5" s="4"/>
      <c r="F5" s="130"/>
      <c r="G5" s="130"/>
      <c r="H5" s="5"/>
    </row>
    <row r="6" spans="1:14" ht="15" customHeight="1" x14ac:dyDescent="0.25">
      <c r="A6" s="75" t="s">
        <v>36</v>
      </c>
      <c r="B6" s="177"/>
      <c r="C6" s="177"/>
      <c r="D6" s="6"/>
      <c r="E6" s="7"/>
    </row>
    <row r="7" spans="1:14" ht="15" customHeight="1" x14ac:dyDescent="0.25">
      <c r="A7" s="7"/>
      <c r="B7" s="196" t="s">
        <v>34</v>
      </c>
      <c r="C7" s="196"/>
      <c r="D7" s="10"/>
    </row>
    <row r="8" spans="1:14" ht="20.100000000000001" customHeight="1" x14ac:dyDescent="0.25">
      <c r="B8" s="11"/>
      <c r="C8" s="11"/>
      <c r="D8" s="12" t="s">
        <v>31</v>
      </c>
      <c r="F8" s="180" t="s">
        <v>32</v>
      </c>
      <c r="G8" s="181"/>
      <c r="H8" s="182"/>
    </row>
    <row r="9" spans="1:14" s="14" customFormat="1" ht="20.100000000000001" customHeight="1" x14ac:dyDescent="0.25">
      <c r="A9" s="197"/>
      <c r="B9" s="197"/>
      <c r="C9" s="197"/>
      <c r="D9" s="13">
        <f>SUM(D27,D46,D65,D84,D103,D122,D141,D160)</f>
        <v>25000</v>
      </c>
      <c r="F9" s="15" t="s">
        <v>28</v>
      </c>
      <c r="G9" s="15" t="s">
        <v>29</v>
      </c>
      <c r="H9" s="15" t="s">
        <v>30</v>
      </c>
      <c r="I9" s="16"/>
      <c r="J9" s="16"/>
      <c r="K9" s="16"/>
      <c r="L9" s="16"/>
      <c r="M9" s="16"/>
      <c r="N9" s="16"/>
    </row>
    <row r="10" spans="1:14" s="17" customFormat="1" ht="23.1" customHeight="1" x14ac:dyDescent="0.3">
      <c r="A10" s="198" t="s">
        <v>51</v>
      </c>
      <c r="B10" s="198"/>
      <c r="C10" s="198"/>
      <c r="D10" s="198"/>
      <c r="F10" s="183" t="s">
        <v>66</v>
      </c>
      <c r="G10" s="184"/>
      <c r="H10" s="185"/>
      <c r="I10" s="18"/>
      <c r="J10" s="18"/>
      <c r="K10" s="18"/>
      <c r="L10" s="18"/>
      <c r="M10" s="19"/>
      <c r="N10" s="20"/>
    </row>
    <row r="11" spans="1:14" s="24" customFormat="1" ht="12.75" customHeight="1" x14ac:dyDescent="0.25">
      <c r="A11" s="21" t="s">
        <v>21</v>
      </c>
      <c r="B11" s="22" t="s">
        <v>22</v>
      </c>
      <c r="C11" s="22" t="s">
        <v>23</v>
      </c>
      <c r="D11" s="23" t="s">
        <v>25</v>
      </c>
      <c r="F11" s="186"/>
      <c r="G11" s="187"/>
      <c r="H11" s="188"/>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78" t="s">
        <v>53</v>
      </c>
      <c r="B27" s="179"/>
      <c r="C27" s="179"/>
      <c r="D27" s="96">
        <f>SUM(Grass_82[Amount])</f>
        <v>0</v>
      </c>
      <c r="F27" s="173" t="s">
        <v>33</v>
      </c>
      <c r="G27" s="174"/>
      <c r="H27" s="174"/>
      <c r="I27" s="35"/>
      <c r="J27" s="35"/>
      <c r="K27" s="35"/>
      <c r="L27" s="35"/>
      <c r="M27" s="36"/>
      <c r="N27" s="37"/>
    </row>
    <row r="28" spans="1:14" s="40" customFormat="1" ht="11.1" customHeight="1" x14ac:dyDescent="0.3">
      <c r="A28" s="38"/>
      <c r="B28" s="38"/>
      <c r="C28" s="38"/>
      <c r="D28" s="39"/>
      <c r="F28" s="173"/>
      <c r="G28" s="174"/>
      <c r="H28" s="174"/>
      <c r="I28" s="35"/>
      <c r="J28" s="35"/>
      <c r="K28" s="35"/>
      <c r="L28" s="35"/>
      <c r="M28" s="36"/>
      <c r="N28" s="37"/>
    </row>
    <row r="29" spans="1:14" s="17" customFormat="1" ht="23.1" customHeight="1" x14ac:dyDescent="0.3">
      <c r="A29" s="191" t="s">
        <v>67</v>
      </c>
      <c r="B29" s="192"/>
      <c r="C29" s="192"/>
      <c r="D29" s="193"/>
      <c r="F29" s="183" t="s">
        <v>52</v>
      </c>
      <c r="G29" s="184"/>
      <c r="H29" s="185"/>
      <c r="I29" s="18"/>
      <c r="J29" s="18"/>
      <c r="K29" s="18"/>
      <c r="L29" s="18"/>
      <c r="M29" s="19"/>
      <c r="N29" s="20"/>
    </row>
    <row r="30" spans="1:14" s="41" customFormat="1" ht="12.75" customHeight="1" x14ac:dyDescent="0.25">
      <c r="A30" s="21" t="s">
        <v>21</v>
      </c>
      <c r="B30" s="22" t="s">
        <v>22</v>
      </c>
      <c r="C30" s="22" t="s">
        <v>23</v>
      </c>
      <c r="D30" s="23" t="s">
        <v>25</v>
      </c>
      <c r="F30" s="186"/>
      <c r="G30" s="187"/>
      <c r="H30" s="188"/>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31"/>
      <c r="J44" s="29"/>
      <c r="K44" s="29"/>
      <c r="L44" s="131"/>
      <c r="M44" s="30"/>
      <c r="N44" s="16"/>
    </row>
    <row r="45" spans="1:14" x14ac:dyDescent="0.3">
      <c r="A45" s="106"/>
      <c r="B45" s="107"/>
      <c r="C45" s="107"/>
      <c r="D45" s="114"/>
      <c r="F45" s="103"/>
      <c r="G45" s="104"/>
      <c r="H45" s="109"/>
      <c r="I45" s="131"/>
      <c r="J45" s="29"/>
      <c r="K45" s="29"/>
      <c r="L45" s="131"/>
      <c r="M45" s="30"/>
      <c r="N45" s="16"/>
    </row>
    <row r="46" spans="1:14" s="34" customFormat="1" x14ac:dyDescent="0.3">
      <c r="A46" s="178" t="s">
        <v>54</v>
      </c>
      <c r="B46" s="179"/>
      <c r="C46" s="179"/>
      <c r="D46" s="96">
        <f>SUM(Tree_82[Amount])</f>
        <v>0</v>
      </c>
      <c r="F46" s="173" t="s">
        <v>33</v>
      </c>
      <c r="G46" s="174"/>
      <c r="H46" s="174"/>
      <c r="I46" s="43"/>
      <c r="J46" s="43"/>
      <c r="K46" s="43"/>
      <c r="L46" s="43"/>
      <c r="M46" s="36"/>
      <c r="N46" s="37"/>
    </row>
    <row r="47" spans="1:14" s="40" customFormat="1" ht="11.1" customHeight="1" x14ac:dyDescent="0.3">
      <c r="A47" s="38"/>
      <c r="B47" s="38"/>
      <c r="C47" s="38"/>
      <c r="D47" s="39"/>
      <c r="F47" s="173"/>
      <c r="G47" s="174"/>
      <c r="H47" s="174"/>
      <c r="I47" s="43"/>
      <c r="J47" s="43"/>
      <c r="K47" s="43"/>
      <c r="L47" s="43"/>
      <c r="M47" s="36"/>
      <c r="N47" s="37"/>
    </row>
    <row r="48" spans="1:14" s="17" customFormat="1" ht="23.1" customHeight="1" x14ac:dyDescent="0.3">
      <c r="A48" s="191" t="s">
        <v>68</v>
      </c>
      <c r="B48" s="192"/>
      <c r="C48" s="192"/>
      <c r="D48" s="193"/>
      <c r="F48" s="183" t="s">
        <v>55</v>
      </c>
      <c r="G48" s="184"/>
      <c r="H48" s="185"/>
      <c r="I48" s="44"/>
      <c r="J48" s="44"/>
      <c r="K48" s="44"/>
      <c r="L48" s="44"/>
      <c r="M48" s="19"/>
      <c r="N48" s="20"/>
    </row>
    <row r="49" spans="1:14" s="41" customFormat="1" ht="12.75" customHeight="1" x14ac:dyDescent="0.25">
      <c r="A49" s="21" t="s">
        <v>21</v>
      </c>
      <c r="B49" s="22" t="s">
        <v>22</v>
      </c>
      <c r="C49" s="22" t="s">
        <v>23</v>
      </c>
      <c r="D49" s="23" t="s">
        <v>25</v>
      </c>
      <c r="F49" s="186"/>
      <c r="G49" s="187"/>
      <c r="H49" s="188"/>
      <c r="I49" s="131"/>
      <c r="J49" s="131"/>
      <c r="K49" s="131"/>
      <c r="L49" s="131"/>
      <c r="M49" s="30"/>
      <c r="N49" s="42"/>
    </row>
    <row r="50" spans="1:14" x14ac:dyDescent="0.3">
      <c r="A50" s="100"/>
      <c r="B50" s="101"/>
      <c r="C50" s="101"/>
      <c r="D50" s="112"/>
      <c r="F50" s="103"/>
      <c r="G50" s="104"/>
      <c r="H50" s="109"/>
      <c r="I50" s="131"/>
      <c r="J50" s="131"/>
      <c r="K50" s="131"/>
      <c r="L50" s="131"/>
      <c r="M50" s="30"/>
      <c r="N50" s="16"/>
    </row>
    <row r="51" spans="1:14" x14ac:dyDescent="0.3">
      <c r="A51" s="106"/>
      <c r="B51" s="107"/>
      <c r="C51" s="107"/>
      <c r="D51" s="113"/>
      <c r="F51" s="103"/>
      <c r="G51" s="104"/>
      <c r="H51" s="109"/>
      <c r="I51" s="131"/>
      <c r="J51" s="131"/>
      <c r="K51" s="131"/>
      <c r="L51" s="131"/>
      <c r="M51" s="30"/>
      <c r="N51" s="16"/>
    </row>
    <row r="52" spans="1:14" x14ac:dyDescent="0.3">
      <c r="A52" s="106"/>
      <c r="B52" s="107"/>
      <c r="C52" s="107"/>
      <c r="D52" s="114"/>
      <c r="F52" s="103"/>
      <c r="H52" s="109"/>
      <c r="I52" s="131"/>
      <c r="J52" s="131"/>
      <c r="K52" s="131"/>
      <c r="L52" s="131"/>
      <c r="M52" s="30"/>
      <c r="N52" s="16"/>
    </row>
    <row r="53" spans="1:14" x14ac:dyDescent="0.3">
      <c r="A53" s="106"/>
      <c r="B53" s="107"/>
      <c r="C53" s="107"/>
      <c r="D53" s="113"/>
      <c r="F53" s="103"/>
      <c r="G53" s="104"/>
      <c r="H53" s="109"/>
      <c r="I53" s="131"/>
      <c r="J53" s="131"/>
      <c r="K53" s="131"/>
      <c r="L53" s="131"/>
      <c r="M53" s="30"/>
      <c r="N53" s="16"/>
    </row>
    <row r="54" spans="1:14" x14ac:dyDescent="0.3">
      <c r="A54" s="106"/>
      <c r="B54" s="107"/>
      <c r="C54" s="107"/>
      <c r="D54" s="114"/>
      <c r="F54" s="103"/>
      <c r="G54" s="104"/>
      <c r="H54" s="109"/>
      <c r="I54" s="131"/>
      <c r="J54" s="131"/>
      <c r="K54" s="131"/>
      <c r="L54" s="131"/>
      <c r="M54" s="30"/>
      <c r="N54" s="16"/>
    </row>
    <row r="55" spans="1:14" x14ac:dyDescent="0.3">
      <c r="A55" s="106"/>
      <c r="B55" s="107"/>
      <c r="C55" s="107"/>
      <c r="D55" s="113"/>
      <c r="F55" s="103"/>
      <c r="G55" s="104"/>
      <c r="H55" s="109"/>
      <c r="I55" s="131"/>
      <c r="J55" s="131"/>
      <c r="K55" s="131"/>
      <c r="L55" s="131"/>
      <c r="M55" s="30"/>
      <c r="N55" s="16"/>
    </row>
    <row r="56" spans="1:14" x14ac:dyDescent="0.3">
      <c r="A56" s="106"/>
      <c r="B56" s="107"/>
      <c r="C56" s="107"/>
      <c r="D56" s="114"/>
      <c r="F56" s="103"/>
      <c r="G56" s="104"/>
      <c r="H56" s="109"/>
      <c r="I56" s="131"/>
      <c r="J56" s="131"/>
      <c r="K56" s="131"/>
      <c r="L56" s="131"/>
      <c r="M56" s="30"/>
      <c r="N56" s="16"/>
    </row>
    <row r="57" spans="1:14" x14ac:dyDescent="0.3">
      <c r="A57" s="106"/>
      <c r="B57" s="107"/>
      <c r="C57" s="107"/>
      <c r="D57" s="113"/>
      <c r="F57" s="103"/>
      <c r="G57" s="104"/>
      <c r="H57" s="109"/>
      <c r="I57" s="131"/>
      <c r="J57" s="131"/>
      <c r="K57" s="131"/>
      <c r="L57" s="131"/>
      <c r="M57" s="30"/>
      <c r="N57" s="16"/>
    </row>
    <row r="58" spans="1:14" x14ac:dyDescent="0.3">
      <c r="A58" s="106"/>
      <c r="B58" s="107"/>
      <c r="C58" s="107"/>
      <c r="D58" s="114"/>
      <c r="F58" s="103"/>
      <c r="G58" s="104"/>
      <c r="H58" s="109"/>
      <c r="I58" s="131"/>
      <c r="J58" s="131"/>
      <c r="K58" s="131"/>
      <c r="L58" s="131"/>
      <c r="M58" s="30"/>
      <c r="N58" s="16"/>
    </row>
    <row r="59" spans="1:14" x14ac:dyDescent="0.3">
      <c r="A59" s="106"/>
      <c r="B59" s="107"/>
      <c r="C59" s="107"/>
      <c r="D59" s="113"/>
      <c r="F59" s="103"/>
      <c r="G59" s="104"/>
      <c r="H59" s="109"/>
      <c r="I59" s="131"/>
      <c r="J59" s="190"/>
      <c r="K59" s="190"/>
      <c r="L59" s="131"/>
      <c r="M59" s="30"/>
      <c r="N59" s="16"/>
    </row>
    <row r="60" spans="1:14" x14ac:dyDescent="0.3">
      <c r="A60" s="106"/>
      <c r="B60" s="107"/>
      <c r="C60" s="107"/>
      <c r="D60" s="114"/>
      <c r="F60" s="103"/>
      <c r="G60" s="104"/>
      <c r="H60" s="109"/>
      <c r="I60" s="189"/>
      <c r="J60" s="189"/>
      <c r="K60" s="189"/>
      <c r="L60" s="189"/>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78" t="s">
        <v>56</v>
      </c>
      <c r="B65" s="179"/>
      <c r="C65" s="179"/>
      <c r="D65" s="96">
        <f>SUM(Pest_82[Amount])</f>
        <v>0</v>
      </c>
      <c r="F65" s="173" t="s">
        <v>33</v>
      </c>
      <c r="G65" s="174"/>
      <c r="H65" s="174"/>
    </row>
    <row r="66" spans="1:8" x14ac:dyDescent="0.3">
      <c r="F66" s="173"/>
      <c r="G66" s="174"/>
      <c r="H66" s="174"/>
    </row>
    <row r="67" spans="1:8" ht="17.399999999999999" x14ac:dyDescent="0.3">
      <c r="A67" s="198" t="s">
        <v>69</v>
      </c>
      <c r="B67" s="198"/>
      <c r="C67" s="198"/>
      <c r="D67" s="198"/>
      <c r="E67" s="17"/>
      <c r="F67" s="183" t="s">
        <v>57</v>
      </c>
      <c r="G67" s="184"/>
      <c r="H67" s="185"/>
    </row>
    <row r="68" spans="1:8" x14ac:dyDescent="0.3">
      <c r="A68" s="21" t="s">
        <v>21</v>
      </c>
      <c r="B68" s="22" t="s">
        <v>22</v>
      </c>
      <c r="C68" s="22" t="s">
        <v>23</v>
      </c>
      <c r="D68" s="23" t="s">
        <v>25</v>
      </c>
      <c r="E68" s="24"/>
      <c r="F68" s="186"/>
      <c r="G68" s="187"/>
      <c r="H68" s="188"/>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78" t="s">
        <v>58</v>
      </c>
      <c r="B84" s="179"/>
      <c r="C84" s="179"/>
      <c r="D84" s="96">
        <f>SUM(Garbage_82[Amount])</f>
        <v>0</v>
      </c>
      <c r="E84" s="34"/>
      <c r="F84" s="173" t="s">
        <v>33</v>
      </c>
      <c r="G84" s="174"/>
      <c r="H84" s="174"/>
    </row>
    <row r="85" spans="1:8" x14ac:dyDescent="0.3">
      <c r="A85" s="38"/>
      <c r="B85" s="38"/>
      <c r="C85" s="38"/>
      <c r="D85" s="39"/>
      <c r="E85" s="40"/>
      <c r="F85" s="173"/>
      <c r="G85" s="174"/>
      <c r="H85" s="174"/>
    </row>
    <row r="86" spans="1:8" ht="17.399999999999999" x14ac:dyDescent="0.3">
      <c r="A86" s="191" t="s">
        <v>59</v>
      </c>
      <c r="B86" s="192"/>
      <c r="C86" s="192"/>
      <c r="D86" s="193"/>
      <c r="E86" s="17"/>
      <c r="F86" s="183" t="s">
        <v>60</v>
      </c>
      <c r="G86" s="184"/>
      <c r="H86" s="185"/>
    </row>
    <row r="87" spans="1:8" x14ac:dyDescent="0.3">
      <c r="A87" s="21" t="s">
        <v>21</v>
      </c>
      <c r="B87" s="22" t="s">
        <v>22</v>
      </c>
      <c r="C87" s="22" t="s">
        <v>23</v>
      </c>
      <c r="D87" s="23" t="s">
        <v>25</v>
      </c>
      <c r="E87" s="41"/>
      <c r="F87" s="186"/>
      <c r="G87" s="187"/>
      <c r="H87" s="188"/>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78" t="s">
        <v>61</v>
      </c>
      <c r="B103" s="179"/>
      <c r="C103" s="179"/>
      <c r="D103" s="96">
        <f>SUM(Boarding_82[Amount])</f>
        <v>0</v>
      </c>
      <c r="E103" s="34"/>
      <c r="F103" s="173" t="s">
        <v>33</v>
      </c>
      <c r="G103" s="174"/>
      <c r="H103" s="174"/>
    </row>
    <row r="104" spans="1:8" x14ac:dyDescent="0.3">
      <c r="A104" s="38"/>
      <c r="B104" s="38"/>
      <c r="C104" s="38"/>
      <c r="D104" s="39"/>
      <c r="E104" s="40"/>
      <c r="F104" s="173"/>
      <c r="G104" s="174"/>
      <c r="H104" s="174"/>
    </row>
    <row r="105" spans="1:8" ht="17.399999999999999" x14ac:dyDescent="0.3">
      <c r="A105" s="191" t="s">
        <v>70</v>
      </c>
      <c r="B105" s="192"/>
      <c r="C105" s="192"/>
      <c r="D105" s="193"/>
      <c r="E105" s="17"/>
      <c r="F105" s="183" t="s">
        <v>62</v>
      </c>
      <c r="G105" s="184"/>
      <c r="H105" s="185"/>
    </row>
    <row r="106" spans="1:8" x14ac:dyDescent="0.3">
      <c r="A106" s="21" t="s">
        <v>21</v>
      </c>
      <c r="B106" s="22" t="s">
        <v>22</v>
      </c>
      <c r="C106" s="22" t="s">
        <v>23</v>
      </c>
      <c r="D106" s="23" t="s">
        <v>25</v>
      </c>
      <c r="E106" s="41"/>
      <c r="F106" s="186"/>
      <c r="G106" s="187"/>
      <c r="H106" s="188"/>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78" t="s">
        <v>63</v>
      </c>
      <c r="B122" s="179"/>
      <c r="C122" s="179"/>
      <c r="D122" s="96">
        <f>SUM(Fence_82[Amount])</f>
        <v>0</v>
      </c>
      <c r="E122" s="34"/>
      <c r="F122" s="173" t="s">
        <v>33</v>
      </c>
      <c r="G122" s="174"/>
      <c r="H122" s="174"/>
    </row>
    <row r="123" spans="1:8" x14ac:dyDescent="0.3">
      <c r="F123" s="173"/>
      <c r="G123" s="174"/>
      <c r="H123" s="174"/>
    </row>
    <row r="124" spans="1:8" ht="17.399999999999999" x14ac:dyDescent="0.3">
      <c r="A124" s="191" t="s">
        <v>26</v>
      </c>
      <c r="B124" s="192"/>
      <c r="C124" s="192"/>
      <c r="D124" s="193"/>
      <c r="E124" s="17"/>
      <c r="F124" s="183" t="s">
        <v>11</v>
      </c>
      <c r="G124" s="184"/>
      <c r="H124" s="185"/>
    </row>
    <row r="125" spans="1:8" x14ac:dyDescent="0.3">
      <c r="A125" s="21" t="s">
        <v>21</v>
      </c>
      <c r="B125" s="22" t="s">
        <v>22</v>
      </c>
      <c r="C125" s="22" t="s">
        <v>23</v>
      </c>
      <c r="D125" s="23" t="s">
        <v>25</v>
      </c>
      <c r="E125" s="41"/>
      <c r="F125" s="186"/>
      <c r="G125" s="187"/>
      <c r="H125" s="188"/>
    </row>
    <row r="126" spans="1:8" x14ac:dyDescent="0.3">
      <c r="A126" s="100"/>
      <c r="B126" s="101"/>
      <c r="C126" s="101"/>
      <c r="D126" s="112">
        <v>25000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78" t="s">
        <v>27</v>
      </c>
      <c r="B141" s="179"/>
      <c r="C141" s="179"/>
      <c r="D141" s="96">
        <f>SUM(Demolition_82[Amount])</f>
        <v>25000</v>
      </c>
      <c r="E141" s="34"/>
      <c r="F141" s="173" t="s">
        <v>33</v>
      </c>
      <c r="G141" s="174"/>
      <c r="H141" s="174"/>
    </row>
    <row r="142" spans="1:8" x14ac:dyDescent="0.3">
      <c r="A142" s="38"/>
      <c r="B142" s="38"/>
      <c r="C142" s="38"/>
      <c r="D142" s="39"/>
      <c r="E142" s="40"/>
      <c r="F142" s="173"/>
      <c r="G142" s="174"/>
      <c r="H142" s="174"/>
    </row>
    <row r="143" spans="1:8" ht="17.399999999999999" x14ac:dyDescent="0.3">
      <c r="A143" s="191" t="s">
        <v>64</v>
      </c>
      <c r="B143" s="192"/>
      <c r="C143" s="192"/>
      <c r="D143" s="193"/>
      <c r="E143" s="17"/>
      <c r="F143" s="183" t="s">
        <v>44</v>
      </c>
      <c r="G143" s="184"/>
      <c r="H143" s="185"/>
    </row>
    <row r="144" spans="1:8" x14ac:dyDescent="0.3">
      <c r="A144" s="21" t="s">
        <v>21</v>
      </c>
      <c r="B144" s="22" t="s">
        <v>22</v>
      </c>
      <c r="C144" s="22" t="s">
        <v>23</v>
      </c>
      <c r="D144" s="23" t="s">
        <v>25</v>
      </c>
      <c r="E144" s="41"/>
      <c r="F144" s="186"/>
      <c r="G144" s="187"/>
      <c r="H144" s="188"/>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78" t="s">
        <v>65</v>
      </c>
      <c r="B160" s="179"/>
      <c r="C160" s="179"/>
      <c r="D160" s="96">
        <f>SUM(Rehab_82[Amount])</f>
        <v>0</v>
      </c>
      <c r="E160" s="34"/>
      <c r="F160" s="173" t="s">
        <v>33</v>
      </c>
      <c r="G160" s="174"/>
      <c r="H160" s="174"/>
    </row>
    <row r="161" spans="6:8" x14ac:dyDescent="0.3">
      <c r="F161" s="173"/>
      <c r="G161" s="174"/>
      <c r="H161" s="174"/>
    </row>
  </sheetData>
  <sheetProtection algorithmName="SHA-512" hashValue="s2dNJGlwrbgJlQOqyM8Z0m3HbAd7A/dxPsinGz7g1xYUU1qyChB9GuG5LsGcoqGZGXsRkL3Bk7LoRJYJkeC6og==" saltValue="3i/GxLVY66Hrgp3f0Y1YzA=="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61"/>
  <sheetViews>
    <sheetView showGridLines="0" zoomScaleNormal="100" workbookViewId="0">
      <pane ySplit="9" topLeftCell="A121"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5" t="s">
        <v>24</v>
      </c>
      <c r="B1" s="175"/>
      <c r="C1" s="175"/>
      <c r="D1" s="175"/>
      <c r="E1" s="1"/>
      <c r="F1" s="2"/>
      <c r="G1" s="2"/>
      <c r="H1" s="1"/>
    </row>
    <row r="2" spans="1:14" ht="24.9" customHeight="1" x14ac:dyDescent="0.3">
      <c r="A2" s="176" t="s">
        <v>71</v>
      </c>
      <c r="B2" s="176"/>
      <c r="C2" s="176"/>
      <c r="D2" s="176"/>
      <c r="E2" s="4"/>
      <c r="F2" s="130"/>
      <c r="G2" s="130"/>
      <c r="H2" s="5"/>
    </row>
    <row r="3" spans="1:14" ht="31.5" customHeight="1" x14ac:dyDescent="0.3">
      <c r="A3" s="176"/>
      <c r="B3" s="176"/>
      <c r="C3" s="176"/>
      <c r="D3" s="176"/>
      <c r="E3" s="4"/>
      <c r="F3" s="130"/>
      <c r="G3" s="130"/>
      <c r="H3" s="5"/>
    </row>
    <row r="4" spans="1:14" ht="15" customHeight="1" x14ac:dyDescent="0.25">
      <c r="A4" s="75" t="s">
        <v>19</v>
      </c>
      <c r="B4" s="194" t="str">
        <f>IF('Summary Sheet'!B115="","",'Summary Sheet'!B115)</f>
        <v>319 W 116TH ST</v>
      </c>
      <c r="C4" s="194"/>
      <c r="D4" s="130"/>
      <c r="E4" s="4"/>
      <c r="F4" s="130"/>
      <c r="G4" s="130"/>
      <c r="H4" s="5"/>
    </row>
    <row r="5" spans="1:14" ht="15" customHeight="1" x14ac:dyDescent="0.25">
      <c r="A5" s="75" t="s">
        <v>20</v>
      </c>
      <c r="B5" s="195" t="str">
        <f>IF('Summary Sheet'!C115="","",'Summary Sheet'!C115)</f>
        <v/>
      </c>
      <c r="C5" s="195"/>
      <c r="D5" s="130"/>
      <c r="E5" s="4"/>
      <c r="F5" s="130"/>
      <c r="G5" s="130"/>
      <c r="H5" s="5"/>
    </row>
    <row r="6" spans="1:14" ht="15" customHeight="1" x14ac:dyDescent="0.25">
      <c r="A6" s="75" t="s">
        <v>36</v>
      </c>
      <c r="B6" s="177"/>
      <c r="C6" s="177"/>
      <c r="D6" s="6"/>
      <c r="E6" s="7"/>
    </row>
    <row r="7" spans="1:14" ht="15" customHeight="1" x14ac:dyDescent="0.25">
      <c r="A7" s="7"/>
      <c r="B7" s="196" t="s">
        <v>34</v>
      </c>
      <c r="C7" s="196"/>
      <c r="D7" s="10"/>
    </row>
    <row r="8" spans="1:14" ht="20.100000000000001" customHeight="1" x14ac:dyDescent="0.25">
      <c r="B8" s="11"/>
      <c r="C8" s="11"/>
      <c r="D8" s="12" t="s">
        <v>31</v>
      </c>
      <c r="F8" s="180" t="s">
        <v>32</v>
      </c>
      <c r="G8" s="181"/>
      <c r="H8" s="182"/>
    </row>
    <row r="9" spans="1:14" s="14" customFormat="1" ht="20.100000000000001" customHeight="1" x14ac:dyDescent="0.25">
      <c r="A9" s="197"/>
      <c r="B9" s="197"/>
      <c r="C9" s="197"/>
      <c r="D9" s="13">
        <f>SUM(D27,D46,D65,D84,D103,D122,D141,D160)</f>
        <v>27510</v>
      </c>
      <c r="F9" s="15" t="s">
        <v>28</v>
      </c>
      <c r="G9" s="15" t="s">
        <v>29</v>
      </c>
      <c r="H9" s="15" t="s">
        <v>30</v>
      </c>
      <c r="I9" s="16"/>
      <c r="J9" s="16"/>
      <c r="K9" s="16"/>
      <c r="L9" s="16"/>
      <c r="M9" s="16"/>
      <c r="N9" s="16"/>
    </row>
    <row r="10" spans="1:14" s="17" customFormat="1" ht="23.1" customHeight="1" x14ac:dyDescent="0.3">
      <c r="A10" s="198" t="s">
        <v>51</v>
      </c>
      <c r="B10" s="198"/>
      <c r="C10" s="198"/>
      <c r="D10" s="198"/>
      <c r="F10" s="183" t="s">
        <v>66</v>
      </c>
      <c r="G10" s="184"/>
      <c r="H10" s="185"/>
      <c r="I10" s="18"/>
      <c r="J10" s="18"/>
      <c r="K10" s="18"/>
      <c r="L10" s="18"/>
      <c r="M10" s="19"/>
      <c r="N10" s="20"/>
    </row>
    <row r="11" spans="1:14" s="24" customFormat="1" ht="12.75" customHeight="1" x14ac:dyDescent="0.25">
      <c r="A11" s="21" t="s">
        <v>21</v>
      </c>
      <c r="B11" s="22" t="s">
        <v>22</v>
      </c>
      <c r="C11" s="22" t="s">
        <v>23</v>
      </c>
      <c r="D11" s="23" t="s">
        <v>25</v>
      </c>
      <c r="F11" s="186"/>
      <c r="G11" s="187"/>
      <c r="H11" s="188"/>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78" t="s">
        <v>53</v>
      </c>
      <c r="B27" s="179"/>
      <c r="C27" s="179"/>
      <c r="D27" s="96">
        <f>SUM(Grass_83[Amount])</f>
        <v>0</v>
      </c>
      <c r="F27" s="173" t="s">
        <v>33</v>
      </c>
      <c r="G27" s="174"/>
      <c r="H27" s="174"/>
      <c r="I27" s="35"/>
      <c r="J27" s="35"/>
      <c r="K27" s="35"/>
      <c r="L27" s="35"/>
      <c r="M27" s="36"/>
      <c r="N27" s="37"/>
    </row>
    <row r="28" spans="1:14" s="40" customFormat="1" ht="11.1" customHeight="1" x14ac:dyDescent="0.3">
      <c r="A28" s="38"/>
      <c r="B28" s="38"/>
      <c r="C28" s="38"/>
      <c r="D28" s="39"/>
      <c r="F28" s="173"/>
      <c r="G28" s="174"/>
      <c r="H28" s="174"/>
      <c r="I28" s="35"/>
      <c r="J28" s="35"/>
      <c r="K28" s="35"/>
      <c r="L28" s="35"/>
      <c r="M28" s="36"/>
      <c r="N28" s="37"/>
    </row>
    <row r="29" spans="1:14" s="17" customFormat="1" ht="23.1" customHeight="1" x14ac:dyDescent="0.3">
      <c r="A29" s="191" t="s">
        <v>67</v>
      </c>
      <c r="B29" s="192"/>
      <c r="C29" s="192"/>
      <c r="D29" s="193"/>
      <c r="F29" s="183" t="s">
        <v>52</v>
      </c>
      <c r="G29" s="184"/>
      <c r="H29" s="185"/>
      <c r="I29" s="18"/>
      <c r="J29" s="18"/>
      <c r="K29" s="18"/>
      <c r="L29" s="18"/>
      <c r="M29" s="19"/>
      <c r="N29" s="20"/>
    </row>
    <row r="30" spans="1:14" s="41" customFormat="1" ht="12.75" customHeight="1" x14ac:dyDescent="0.25">
      <c r="A30" s="21" t="s">
        <v>21</v>
      </c>
      <c r="B30" s="22" t="s">
        <v>22</v>
      </c>
      <c r="C30" s="22" t="s">
        <v>23</v>
      </c>
      <c r="D30" s="23" t="s">
        <v>25</v>
      </c>
      <c r="F30" s="186"/>
      <c r="G30" s="187"/>
      <c r="H30" s="188"/>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31"/>
      <c r="J44" s="29"/>
      <c r="K44" s="29"/>
      <c r="L44" s="131"/>
      <c r="M44" s="30"/>
      <c r="N44" s="16"/>
    </row>
    <row r="45" spans="1:14" x14ac:dyDescent="0.3">
      <c r="A45" s="106"/>
      <c r="B45" s="107"/>
      <c r="C45" s="107"/>
      <c r="D45" s="114"/>
      <c r="F45" s="103"/>
      <c r="G45" s="104"/>
      <c r="H45" s="109"/>
      <c r="I45" s="131"/>
      <c r="J45" s="29"/>
      <c r="K45" s="29"/>
      <c r="L45" s="131"/>
      <c r="M45" s="30"/>
      <c r="N45" s="16"/>
    </row>
    <row r="46" spans="1:14" s="34" customFormat="1" x14ac:dyDescent="0.3">
      <c r="A46" s="178" t="s">
        <v>54</v>
      </c>
      <c r="B46" s="179"/>
      <c r="C46" s="179"/>
      <c r="D46" s="96">
        <f>SUM(Tree_83[Amount])</f>
        <v>0</v>
      </c>
      <c r="F46" s="173" t="s">
        <v>33</v>
      </c>
      <c r="G46" s="174"/>
      <c r="H46" s="174"/>
      <c r="I46" s="43"/>
      <c r="J46" s="43"/>
      <c r="K46" s="43"/>
      <c r="L46" s="43"/>
      <c r="M46" s="36"/>
      <c r="N46" s="37"/>
    </row>
    <row r="47" spans="1:14" s="40" customFormat="1" ht="11.1" customHeight="1" x14ac:dyDescent="0.3">
      <c r="A47" s="38"/>
      <c r="B47" s="38"/>
      <c r="C47" s="38"/>
      <c r="D47" s="39"/>
      <c r="F47" s="173"/>
      <c r="G47" s="174"/>
      <c r="H47" s="174"/>
      <c r="I47" s="43"/>
      <c r="J47" s="43"/>
      <c r="K47" s="43"/>
      <c r="L47" s="43"/>
      <c r="M47" s="36"/>
      <c r="N47" s="37"/>
    </row>
    <row r="48" spans="1:14" s="17" customFormat="1" ht="23.1" customHeight="1" x14ac:dyDescent="0.3">
      <c r="A48" s="191" t="s">
        <v>68</v>
      </c>
      <c r="B48" s="192"/>
      <c r="C48" s="192"/>
      <c r="D48" s="193"/>
      <c r="F48" s="183" t="s">
        <v>55</v>
      </c>
      <c r="G48" s="184"/>
      <c r="H48" s="185"/>
      <c r="I48" s="44"/>
      <c r="J48" s="44"/>
      <c r="K48" s="44"/>
      <c r="L48" s="44"/>
      <c r="M48" s="19"/>
      <c r="N48" s="20"/>
    </row>
    <row r="49" spans="1:14" s="41" customFormat="1" ht="12.75" customHeight="1" x14ac:dyDescent="0.25">
      <c r="A49" s="21" t="s">
        <v>21</v>
      </c>
      <c r="B49" s="22" t="s">
        <v>22</v>
      </c>
      <c r="C49" s="22" t="s">
        <v>23</v>
      </c>
      <c r="D49" s="23" t="s">
        <v>25</v>
      </c>
      <c r="F49" s="186"/>
      <c r="G49" s="187"/>
      <c r="H49" s="188"/>
      <c r="I49" s="131"/>
      <c r="J49" s="131"/>
      <c r="K49" s="131"/>
      <c r="L49" s="131"/>
      <c r="M49" s="30"/>
      <c r="N49" s="42"/>
    </row>
    <row r="50" spans="1:14" x14ac:dyDescent="0.3">
      <c r="A50" s="100"/>
      <c r="B50" s="101"/>
      <c r="C50" s="101"/>
      <c r="D50" s="112"/>
      <c r="F50" s="103"/>
      <c r="G50" s="104"/>
      <c r="H50" s="109"/>
      <c r="I50" s="131"/>
      <c r="J50" s="131"/>
      <c r="K50" s="131"/>
      <c r="L50" s="131"/>
      <c r="M50" s="30"/>
      <c r="N50" s="16"/>
    </row>
    <row r="51" spans="1:14" x14ac:dyDescent="0.3">
      <c r="A51" s="106"/>
      <c r="B51" s="107"/>
      <c r="C51" s="107"/>
      <c r="D51" s="113"/>
      <c r="F51" s="103"/>
      <c r="G51" s="104"/>
      <c r="H51" s="109"/>
      <c r="I51" s="131"/>
      <c r="J51" s="131"/>
      <c r="K51" s="131"/>
      <c r="L51" s="131"/>
      <c r="M51" s="30"/>
      <c r="N51" s="16"/>
    </row>
    <row r="52" spans="1:14" x14ac:dyDescent="0.3">
      <c r="A52" s="106"/>
      <c r="B52" s="107"/>
      <c r="C52" s="107"/>
      <c r="D52" s="114"/>
      <c r="F52" s="103"/>
      <c r="H52" s="109"/>
      <c r="I52" s="131"/>
      <c r="J52" s="131"/>
      <c r="K52" s="131"/>
      <c r="L52" s="131"/>
      <c r="M52" s="30"/>
      <c r="N52" s="16"/>
    </row>
    <row r="53" spans="1:14" x14ac:dyDescent="0.3">
      <c r="A53" s="106"/>
      <c r="B53" s="107"/>
      <c r="C53" s="107"/>
      <c r="D53" s="113"/>
      <c r="F53" s="103"/>
      <c r="G53" s="104"/>
      <c r="H53" s="109"/>
      <c r="I53" s="131"/>
      <c r="J53" s="131"/>
      <c r="K53" s="131"/>
      <c r="L53" s="131"/>
      <c r="M53" s="30"/>
      <c r="N53" s="16"/>
    </row>
    <row r="54" spans="1:14" x14ac:dyDescent="0.3">
      <c r="A54" s="106"/>
      <c r="B54" s="107"/>
      <c r="C54" s="107"/>
      <c r="D54" s="114"/>
      <c r="F54" s="103"/>
      <c r="G54" s="104"/>
      <c r="H54" s="109"/>
      <c r="I54" s="131"/>
      <c r="J54" s="131"/>
      <c r="K54" s="131"/>
      <c r="L54" s="131"/>
      <c r="M54" s="30"/>
      <c r="N54" s="16"/>
    </row>
    <row r="55" spans="1:14" x14ac:dyDescent="0.3">
      <c r="A55" s="106"/>
      <c r="B55" s="107"/>
      <c r="C55" s="107"/>
      <c r="D55" s="113"/>
      <c r="F55" s="103"/>
      <c r="G55" s="104"/>
      <c r="H55" s="109"/>
      <c r="I55" s="131"/>
      <c r="J55" s="131"/>
      <c r="K55" s="131"/>
      <c r="L55" s="131"/>
      <c r="M55" s="30"/>
      <c r="N55" s="16"/>
    </row>
    <row r="56" spans="1:14" x14ac:dyDescent="0.3">
      <c r="A56" s="106"/>
      <c r="B56" s="107"/>
      <c r="C56" s="107"/>
      <c r="D56" s="114"/>
      <c r="F56" s="103"/>
      <c r="G56" s="104"/>
      <c r="H56" s="109"/>
      <c r="I56" s="131"/>
      <c r="J56" s="131"/>
      <c r="K56" s="131"/>
      <c r="L56" s="131"/>
      <c r="M56" s="30"/>
      <c r="N56" s="16"/>
    </row>
    <row r="57" spans="1:14" x14ac:dyDescent="0.3">
      <c r="A57" s="106"/>
      <c r="B57" s="107"/>
      <c r="C57" s="107"/>
      <c r="D57" s="113"/>
      <c r="F57" s="103"/>
      <c r="G57" s="104"/>
      <c r="H57" s="109"/>
      <c r="I57" s="131"/>
      <c r="J57" s="131"/>
      <c r="K57" s="131"/>
      <c r="L57" s="131"/>
      <c r="M57" s="30"/>
      <c r="N57" s="16"/>
    </row>
    <row r="58" spans="1:14" x14ac:dyDescent="0.3">
      <c r="A58" s="106"/>
      <c r="B58" s="107"/>
      <c r="C58" s="107"/>
      <c r="D58" s="114"/>
      <c r="F58" s="103"/>
      <c r="G58" s="104"/>
      <c r="H58" s="109"/>
      <c r="I58" s="131"/>
      <c r="J58" s="131"/>
      <c r="K58" s="131"/>
      <c r="L58" s="131"/>
      <c r="M58" s="30"/>
      <c r="N58" s="16"/>
    </row>
    <row r="59" spans="1:14" x14ac:dyDescent="0.3">
      <c r="A59" s="106"/>
      <c r="B59" s="107"/>
      <c r="C59" s="107"/>
      <c r="D59" s="113"/>
      <c r="F59" s="103"/>
      <c r="G59" s="104"/>
      <c r="H59" s="109"/>
      <c r="I59" s="131"/>
      <c r="J59" s="190"/>
      <c r="K59" s="190"/>
      <c r="L59" s="131"/>
      <c r="M59" s="30"/>
      <c r="N59" s="16"/>
    </row>
    <row r="60" spans="1:14" x14ac:dyDescent="0.3">
      <c r="A60" s="106"/>
      <c r="B60" s="107"/>
      <c r="C60" s="107"/>
      <c r="D60" s="114"/>
      <c r="F60" s="103"/>
      <c r="G60" s="104"/>
      <c r="H60" s="109"/>
      <c r="I60" s="189"/>
      <c r="J60" s="189"/>
      <c r="K60" s="189"/>
      <c r="L60" s="189"/>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78" t="s">
        <v>56</v>
      </c>
      <c r="B65" s="179"/>
      <c r="C65" s="179"/>
      <c r="D65" s="96">
        <f>SUM(Pest_83[Amount])</f>
        <v>0</v>
      </c>
      <c r="F65" s="173" t="s">
        <v>33</v>
      </c>
      <c r="G65" s="174"/>
      <c r="H65" s="174"/>
    </row>
    <row r="66" spans="1:8" x14ac:dyDescent="0.3">
      <c r="F66" s="173"/>
      <c r="G66" s="174"/>
      <c r="H66" s="174"/>
    </row>
    <row r="67" spans="1:8" ht="17.399999999999999" x14ac:dyDescent="0.3">
      <c r="A67" s="198" t="s">
        <v>69</v>
      </c>
      <c r="B67" s="198"/>
      <c r="C67" s="198"/>
      <c r="D67" s="198"/>
      <c r="E67" s="17"/>
      <c r="F67" s="183" t="s">
        <v>57</v>
      </c>
      <c r="G67" s="184"/>
      <c r="H67" s="185"/>
    </row>
    <row r="68" spans="1:8" x14ac:dyDescent="0.3">
      <c r="A68" s="21" t="s">
        <v>21</v>
      </c>
      <c r="B68" s="22" t="s">
        <v>22</v>
      </c>
      <c r="C68" s="22" t="s">
        <v>23</v>
      </c>
      <c r="D68" s="23" t="s">
        <v>25</v>
      </c>
      <c r="E68" s="24"/>
      <c r="F68" s="186"/>
      <c r="G68" s="187"/>
      <c r="H68" s="188"/>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78" t="s">
        <v>58</v>
      </c>
      <c r="B84" s="179"/>
      <c r="C84" s="179"/>
      <c r="D84" s="96">
        <f>SUM(Garbage_83[Amount])</f>
        <v>0</v>
      </c>
      <c r="E84" s="34"/>
      <c r="F84" s="173" t="s">
        <v>33</v>
      </c>
      <c r="G84" s="174"/>
      <c r="H84" s="174"/>
    </row>
    <row r="85" spans="1:8" x14ac:dyDescent="0.3">
      <c r="A85" s="38"/>
      <c r="B85" s="38"/>
      <c r="C85" s="38"/>
      <c r="D85" s="39"/>
      <c r="E85" s="40"/>
      <c r="F85" s="173"/>
      <c r="G85" s="174"/>
      <c r="H85" s="174"/>
    </row>
    <row r="86" spans="1:8" ht="17.399999999999999" x14ac:dyDescent="0.3">
      <c r="A86" s="191" t="s">
        <v>59</v>
      </c>
      <c r="B86" s="192"/>
      <c r="C86" s="192"/>
      <c r="D86" s="193"/>
      <c r="E86" s="17"/>
      <c r="F86" s="183" t="s">
        <v>60</v>
      </c>
      <c r="G86" s="184"/>
      <c r="H86" s="185"/>
    </row>
    <row r="87" spans="1:8" x14ac:dyDescent="0.3">
      <c r="A87" s="21" t="s">
        <v>21</v>
      </c>
      <c r="B87" s="22" t="s">
        <v>22</v>
      </c>
      <c r="C87" s="22" t="s">
        <v>23</v>
      </c>
      <c r="D87" s="23" t="s">
        <v>25</v>
      </c>
      <c r="E87" s="41"/>
      <c r="F87" s="186"/>
      <c r="G87" s="187"/>
      <c r="H87" s="188"/>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78" t="s">
        <v>61</v>
      </c>
      <c r="B103" s="179"/>
      <c r="C103" s="179"/>
      <c r="D103" s="96">
        <f>SUM(Boarding_83[Amount])</f>
        <v>0</v>
      </c>
      <c r="E103" s="34"/>
      <c r="F103" s="173" t="s">
        <v>33</v>
      </c>
      <c r="G103" s="174"/>
      <c r="H103" s="174"/>
    </row>
    <row r="104" spans="1:8" x14ac:dyDescent="0.3">
      <c r="A104" s="38"/>
      <c r="B104" s="38"/>
      <c r="C104" s="38"/>
      <c r="D104" s="39"/>
      <c r="E104" s="40"/>
      <c r="F104" s="173"/>
      <c r="G104" s="174"/>
      <c r="H104" s="174"/>
    </row>
    <row r="105" spans="1:8" ht="17.399999999999999" x14ac:dyDescent="0.3">
      <c r="A105" s="191" t="s">
        <v>70</v>
      </c>
      <c r="B105" s="192"/>
      <c r="C105" s="192"/>
      <c r="D105" s="193"/>
      <c r="E105" s="17"/>
      <c r="F105" s="183" t="s">
        <v>62</v>
      </c>
      <c r="G105" s="184"/>
      <c r="H105" s="185"/>
    </row>
    <row r="106" spans="1:8" x14ac:dyDescent="0.3">
      <c r="A106" s="21" t="s">
        <v>21</v>
      </c>
      <c r="B106" s="22" t="s">
        <v>22</v>
      </c>
      <c r="C106" s="22" t="s">
        <v>23</v>
      </c>
      <c r="D106" s="23" t="s">
        <v>25</v>
      </c>
      <c r="E106" s="41"/>
      <c r="F106" s="186"/>
      <c r="G106" s="187"/>
      <c r="H106" s="188"/>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78" t="s">
        <v>63</v>
      </c>
      <c r="B122" s="179"/>
      <c r="C122" s="179"/>
      <c r="D122" s="96">
        <f>SUM(Fence_83[Amount])</f>
        <v>0</v>
      </c>
      <c r="E122" s="34"/>
      <c r="F122" s="173" t="s">
        <v>33</v>
      </c>
      <c r="G122" s="174"/>
      <c r="H122" s="174"/>
    </row>
    <row r="123" spans="1:8" x14ac:dyDescent="0.3">
      <c r="F123" s="173"/>
      <c r="G123" s="174"/>
      <c r="H123" s="174"/>
    </row>
    <row r="124" spans="1:8" ht="17.399999999999999" x14ac:dyDescent="0.3">
      <c r="A124" s="191" t="s">
        <v>26</v>
      </c>
      <c r="B124" s="192"/>
      <c r="C124" s="192"/>
      <c r="D124" s="193"/>
      <c r="E124" s="17"/>
      <c r="F124" s="183" t="s">
        <v>11</v>
      </c>
      <c r="G124" s="184"/>
      <c r="H124" s="185"/>
    </row>
    <row r="125" spans="1:8" x14ac:dyDescent="0.3">
      <c r="A125" s="21" t="s">
        <v>21</v>
      </c>
      <c r="B125" s="22" t="s">
        <v>22</v>
      </c>
      <c r="C125" s="22" t="s">
        <v>23</v>
      </c>
      <c r="D125" s="23" t="s">
        <v>25</v>
      </c>
      <c r="E125" s="41"/>
      <c r="F125" s="186"/>
      <c r="G125" s="187"/>
      <c r="H125" s="188"/>
    </row>
    <row r="126" spans="1:8" x14ac:dyDescent="0.3">
      <c r="A126" s="100"/>
      <c r="B126" s="101"/>
      <c r="C126" s="101"/>
      <c r="D126" s="112">
        <v>27510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78" t="s">
        <v>27</v>
      </c>
      <c r="B141" s="179"/>
      <c r="C141" s="179"/>
      <c r="D141" s="96">
        <f>SUM(Demolition_83[Amount])</f>
        <v>27510</v>
      </c>
      <c r="E141" s="34"/>
      <c r="F141" s="173" t="s">
        <v>33</v>
      </c>
      <c r="G141" s="174"/>
      <c r="H141" s="174"/>
    </row>
    <row r="142" spans="1:8" x14ac:dyDescent="0.3">
      <c r="A142" s="38"/>
      <c r="B142" s="38"/>
      <c r="C142" s="38"/>
      <c r="D142" s="39"/>
      <c r="E142" s="40"/>
      <c r="F142" s="173"/>
      <c r="G142" s="174"/>
      <c r="H142" s="174"/>
    </row>
    <row r="143" spans="1:8" ht="17.399999999999999" x14ac:dyDescent="0.3">
      <c r="A143" s="191" t="s">
        <v>64</v>
      </c>
      <c r="B143" s="192"/>
      <c r="C143" s="192"/>
      <c r="D143" s="193"/>
      <c r="E143" s="17"/>
      <c r="F143" s="183" t="s">
        <v>44</v>
      </c>
      <c r="G143" s="184"/>
      <c r="H143" s="185"/>
    </row>
    <row r="144" spans="1:8" x14ac:dyDescent="0.3">
      <c r="A144" s="21" t="s">
        <v>21</v>
      </c>
      <c r="B144" s="22" t="s">
        <v>22</v>
      </c>
      <c r="C144" s="22" t="s">
        <v>23</v>
      </c>
      <c r="D144" s="23" t="s">
        <v>25</v>
      </c>
      <c r="E144" s="41"/>
      <c r="F144" s="186"/>
      <c r="G144" s="187"/>
      <c r="H144" s="188"/>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78" t="s">
        <v>65</v>
      </c>
      <c r="B160" s="179"/>
      <c r="C160" s="179"/>
      <c r="D160" s="96">
        <f>SUM(Rehab_83[Amount])</f>
        <v>0</v>
      </c>
      <c r="E160" s="34"/>
      <c r="F160" s="173" t="s">
        <v>33</v>
      </c>
      <c r="G160" s="174"/>
      <c r="H160" s="174"/>
    </row>
    <row r="161" spans="6:8" x14ac:dyDescent="0.3">
      <c r="F161" s="173"/>
      <c r="G161" s="174"/>
      <c r="H161" s="174"/>
    </row>
  </sheetData>
  <sheetProtection algorithmName="SHA-512" hashValue="uue+BUKoHy0aV6KAQBNu38NXJPzpGAdg5ZumQnmswprYhb+wkxf027JlN/43s1JJAcMEmH0rj9A+YUHBNsevbQ==" saltValue="JTpGDKiaDGKhOXcuAtFPbA=="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61"/>
  <sheetViews>
    <sheetView showGridLines="0" zoomScaleNormal="100" workbookViewId="0">
      <pane ySplit="9" topLeftCell="A133"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5" t="s">
        <v>24</v>
      </c>
      <c r="B1" s="175"/>
      <c r="C1" s="175"/>
      <c r="D1" s="175"/>
      <c r="E1" s="1"/>
      <c r="F1" s="2"/>
      <c r="G1" s="2"/>
      <c r="H1" s="1"/>
    </row>
    <row r="2" spans="1:14" ht="24.9" customHeight="1" x14ac:dyDescent="0.3">
      <c r="A2" s="176" t="s">
        <v>71</v>
      </c>
      <c r="B2" s="176"/>
      <c r="C2" s="176"/>
      <c r="D2" s="176"/>
      <c r="E2" s="4"/>
      <c r="F2" s="130"/>
      <c r="G2" s="130"/>
      <c r="H2" s="5"/>
    </row>
    <row r="3" spans="1:14" ht="31.5" customHeight="1" x14ac:dyDescent="0.3">
      <c r="A3" s="176"/>
      <c r="B3" s="176"/>
      <c r="C3" s="176"/>
      <c r="D3" s="176"/>
      <c r="E3" s="4"/>
      <c r="F3" s="130"/>
      <c r="G3" s="130"/>
      <c r="H3" s="5"/>
    </row>
    <row r="4" spans="1:14" ht="15" customHeight="1" x14ac:dyDescent="0.25">
      <c r="A4" s="75" t="s">
        <v>19</v>
      </c>
      <c r="B4" s="194" t="str">
        <f>IF('Summary Sheet'!B116="","",'Summary Sheet'!B116)</f>
        <v>327 W 104TH ST</v>
      </c>
      <c r="C4" s="194"/>
      <c r="D4" s="130"/>
      <c r="E4" s="4"/>
      <c r="F4" s="130"/>
      <c r="G4" s="130"/>
      <c r="H4" s="5"/>
    </row>
    <row r="5" spans="1:14" ht="15" customHeight="1" x14ac:dyDescent="0.25">
      <c r="A5" s="75" t="s">
        <v>20</v>
      </c>
      <c r="B5" s="195" t="str">
        <f>IF('Summary Sheet'!C116="","",'Summary Sheet'!C116)</f>
        <v/>
      </c>
      <c r="C5" s="195"/>
      <c r="D5" s="130"/>
      <c r="E5" s="4"/>
      <c r="F5" s="130"/>
      <c r="G5" s="130"/>
      <c r="H5" s="5"/>
    </row>
    <row r="6" spans="1:14" ht="15" customHeight="1" x14ac:dyDescent="0.25">
      <c r="A6" s="75" t="s">
        <v>36</v>
      </c>
      <c r="B6" s="177"/>
      <c r="C6" s="177"/>
      <c r="D6" s="6"/>
      <c r="E6" s="7"/>
    </row>
    <row r="7" spans="1:14" ht="15" customHeight="1" x14ac:dyDescent="0.25">
      <c r="A7" s="7"/>
      <c r="B7" s="196" t="s">
        <v>34</v>
      </c>
      <c r="C7" s="196"/>
      <c r="D7" s="10"/>
    </row>
    <row r="8" spans="1:14" ht="20.100000000000001" customHeight="1" x14ac:dyDescent="0.25">
      <c r="B8" s="11"/>
      <c r="C8" s="11"/>
      <c r="D8" s="12" t="s">
        <v>31</v>
      </c>
      <c r="F8" s="180" t="s">
        <v>32</v>
      </c>
      <c r="G8" s="181"/>
      <c r="H8" s="182"/>
    </row>
    <row r="9" spans="1:14" s="14" customFormat="1" ht="20.100000000000001" customHeight="1" x14ac:dyDescent="0.25">
      <c r="A9" s="197"/>
      <c r="B9" s="197"/>
      <c r="C9" s="197"/>
      <c r="D9" s="13">
        <f>SUM(D27,D46,D65,D84,D103,D122,D141,D160)</f>
        <v>17210</v>
      </c>
      <c r="F9" s="15" t="s">
        <v>28</v>
      </c>
      <c r="G9" s="15" t="s">
        <v>29</v>
      </c>
      <c r="H9" s="15" t="s">
        <v>30</v>
      </c>
      <c r="I9" s="16"/>
      <c r="J9" s="16"/>
      <c r="K9" s="16"/>
      <c r="L9" s="16"/>
      <c r="M9" s="16"/>
      <c r="N9" s="16"/>
    </row>
    <row r="10" spans="1:14" s="17" customFormat="1" ht="23.1" customHeight="1" x14ac:dyDescent="0.3">
      <c r="A10" s="198" t="s">
        <v>51</v>
      </c>
      <c r="B10" s="198"/>
      <c r="C10" s="198"/>
      <c r="D10" s="198"/>
      <c r="F10" s="183" t="s">
        <v>66</v>
      </c>
      <c r="G10" s="184"/>
      <c r="H10" s="185"/>
      <c r="I10" s="18"/>
      <c r="J10" s="18"/>
      <c r="K10" s="18"/>
      <c r="L10" s="18"/>
      <c r="M10" s="19"/>
      <c r="N10" s="20"/>
    </row>
    <row r="11" spans="1:14" s="24" customFormat="1" ht="12.75" customHeight="1" x14ac:dyDescent="0.25">
      <c r="A11" s="21" t="s">
        <v>21</v>
      </c>
      <c r="B11" s="22" t="s">
        <v>22</v>
      </c>
      <c r="C11" s="22" t="s">
        <v>23</v>
      </c>
      <c r="D11" s="23" t="s">
        <v>25</v>
      </c>
      <c r="F11" s="186"/>
      <c r="G11" s="187"/>
      <c r="H11" s="188"/>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78" t="s">
        <v>53</v>
      </c>
      <c r="B27" s="179"/>
      <c r="C27" s="179"/>
      <c r="D27" s="96">
        <f>SUM(Grass_84[Amount])</f>
        <v>0</v>
      </c>
      <c r="F27" s="173" t="s">
        <v>33</v>
      </c>
      <c r="G27" s="174"/>
      <c r="H27" s="174"/>
      <c r="I27" s="35"/>
      <c r="J27" s="35"/>
      <c r="K27" s="35"/>
      <c r="L27" s="35"/>
      <c r="M27" s="36"/>
      <c r="N27" s="37"/>
    </row>
    <row r="28" spans="1:14" s="40" customFormat="1" ht="11.1" customHeight="1" x14ac:dyDescent="0.3">
      <c r="A28" s="38"/>
      <c r="B28" s="38"/>
      <c r="C28" s="38"/>
      <c r="D28" s="39"/>
      <c r="F28" s="173"/>
      <c r="G28" s="174"/>
      <c r="H28" s="174"/>
      <c r="I28" s="35"/>
      <c r="J28" s="35"/>
      <c r="K28" s="35"/>
      <c r="L28" s="35"/>
      <c r="M28" s="36"/>
      <c r="N28" s="37"/>
    </row>
    <row r="29" spans="1:14" s="17" customFormat="1" ht="23.1" customHeight="1" x14ac:dyDescent="0.3">
      <c r="A29" s="191" t="s">
        <v>67</v>
      </c>
      <c r="B29" s="192"/>
      <c r="C29" s="192"/>
      <c r="D29" s="193"/>
      <c r="F29" s="183" t="s">
        <v>52</v>
      </c>
      <c r="G29" s="184"/>
      <c r="H29" s="185"/>
      <c r="I29" s="18"/>
      <c r="J29" s="18"/>
      <c r="K29" s="18"/>
      <c r="L29" s="18"/>
      <c r="M29" s="19"/>
      <c r="N29" s="20"/>
    </row>
    <row r="30" spans="1:14" s="41" customFormat="1" ht="12.75" customHeight="1" x14ac:dyDescent="0.25">
      <c r="A30" s="21" t="s">
        <v>21</v>
      </c>
      <c r="B30" s="22" t="s">
        <v>22</v>
      </c>
      <c r="C30" s="22" t="s">
        <v>23</v>
      </c>
      <c r="D30" s="23" t="s">
        <v>25</v>
      </c>
      <c r="F30" s="186"/>
      <c r="G30" s="187"/>
      <c r="H30" s="188"/>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31"/>
      <c r="J44" s="29"/>
      <c r="K44" s="29"/>
      <c r="L44" s="131"/>
      <c r="M44" s="30"/>
      <c r="N44" s="16"/>
    </row>
    <row r="45" spans="1:14" x14ac:dyDescent="0.3">
      <c r="A45" s="106"/>
      <c r="B45" s="107"/>
      <c r="C45" s="107"/>
      <c r="D45" s="114"/>
      <c r="F45" s="103"/>
      <c r="G45" s="104"/>
      <c r="H45" s="109"/>
      <c r="I45" s="131"/>
      <c r="J45" s="29"/>
      <c r="K45" s="29"/>
      <c r="L45" s="131"/>
      <c r="M45" s="30"/>
      <c r="N45" s="16"/>
    </row>
    <row r="46" spans="1:14" s="34" customFormat="1" x14ac:dyDescent="0.3">
      <c r="A46" s="178" t="s">
        <v>54</v>
      </c>
      <c r="B46" s="179"/>
      <c r="C46" s="179"/>
      <c r="D46" s="96">
        <f>SUM(Tree_84[Amount])</f>
        <v>0</v>
      </c>
      <c r="F46" s="173" t="s">
        <v>33</v>
      </c>
      <c r="G46" s="174"/>
      <c r="H46" s="174"/>
      <c r="I46" s="43"/>
      <c r="J46" s="43"/>
      <c r="K46" s="43"/>
      <c r="L46" s="43"/>
      <c r="M46" s="36"/>
      <c r="N46" s="37"/>
    </row>
    <row r="47" spans="1:14" s="40" customFormat="1" ht="11.1" customHeight="1" x14ac:dyDescent="0.3">
      <c r="A47" s="38"/>
      <c r="B47" s="38"/>
      <c r="C47" s="38"/>
      <c r="D47" s="39"/>
      <c r="F47" s="173"/>
      <c r="G47" s="174"/>
      <c r="H47" s="174"/>
      <c r="I47" s="43"/>
      <c r="J47" s="43"/>
      <c r="K47" s="43"/>
      <c r="L47" s="43"/>
      <c r="M47" s="36"/>
      <c r="N47" s="37"/>
    </row>
    <row r="48" spans="1:14" s="17" customFormat="1" ht="23.1" customHeight="1" x14ac:dyDescent="0.3">
      <c r="A48" s="191" t="s">
        <v>68</v>
      </c>
      <c r="B48" s="192"/>
      <c r="C48" s="192"/>
      <c r="D48" s="193"/>
      <c r="F48" s="183" t="s">
        <v>55</v>
      </c>
      <c r="G48" s="184"/>
      <c r="H48" s="185"/>
      <c r="I48" s="44"/>
      <c r="J48" s="44"/>
      <c r="K48" s="44"/>
      <c r="L48" s="44"/>
      <c r="M48" s="19"/>
      <c r="N48" s="20"/>
    </row>
    <row r="49" spans="1:14" s="41" customFormat="1" ht="12.75" customHeight="1" x14ac:dyDescent="0.25">
      <c r="A49" s="21" t="s">
        <v>21</v>
      </c>
      <c r="B49" s="22" t="s">
        <v>22</v>
      </c>
      <c r="C49" s="22" t="s">
        <v>23</v>
      </c>
      <c r="D49" s="23" t="s">
        <v>25</v>
      </c>
      <c r="F49" s="186"/>
      <c r="G49" s="187"/>
      <c r="H49" s="188"/>
      <c r="I49" s="131"/>
      <c r="J49" s="131"/>
      <c r="K49" s="131"/>
      <c r="L49" s="131"/>
      <c r="M49" s="30"/>
      <c r="N49" s="42"/>
    </row>
    <row r="50" spans="1:14" x14ac:dyDescent="0.3">
      <c r="A50" s="100"/>
      <c r="B50" s="101"/>
      <c r="C50" s="101"/>
      <c r="D50" s="112"/>
      <c r="F50" s="103"/>
      <c r="G50" s="104"/>
      <c r="H50" s="109"/>
      <c r="I50" s="131"/>
      <c r="J50" s="131"/>
      <c r="K50" s="131"/>
      <c r="L50" s="131"/>
      <c r="M50" s="30"/>
      <c r="N50" s="16"/>
    </row>
    <row r="51" spans="1:14" x14ac:dyDescent="0.3">
      <c r="A51" s="106"/>
      <c r="B51" s="107"/>
      <c r="C51" s="107"/>
      <c r="D51" s="113"/>
      <c r="F51" s="103"/>
      <c r="G51" s="104"/>
      <c r="H51" s="109"/>
      <c r="I51" s="131"/>
      <c r="J51" s="131"/>
      <c r="K51" s="131"/>
      <c r="L51" s="131"/>
      <c r="M51" s="30"/>
      <c r="N51" s="16"/>
    </row>
    <row r="52" spans="1:14" x14ac:dyDescent="0.3">
      <c r="A52" s="106"/>
      <c r="B52" s="107"/>
      <c r="C52" s="107"/>
      <c r="D52" s="114"/>
      <c r="F52" s="103"/>
      <c r="H52" s="109"/>
      <c r="I52" s="131"/>
      <c r="J52" s="131"/>
      <c r="K52" s="131"/>
      <c r="L52" s="131"/>
      <c r="M52" s="30"/>
      <c r="N52" s="16"/>
    </row>
    <row r="53" spans="1:14" x14ac:dyDescent="0.3">
      <c r="A53" s="106"/>
      <c r="B53" s="107"/>
      <c r="C53" s="107"/>
      <c r="D53" s="113"/>
      <c r="F53" s="103"/>
      <c r="G53" s="104"/>
      <c r="H53" s="109"/>
      <c r="I53" s="131"/>
      <c r="J53" s="131"/>
      <c r="K53" s="131"/>
      <c r="L53" s="131"/>
      <c r="M53" s="30"/>
      <c r="N53" s="16"/>
    </row>
    <row r="54" spans="1:14" x14ac:dyDescent="0.3">
      <c r="A54" s="106"/>
      <c r="B54" s="107"/>
      <c r="C54" s="107"/>
      <c r="D54" s="114"/>
      <c r="F54" s="103"/>
      <c r="G54" s="104"/>
      <c r="H54" s="109"/>
      <c r="I54" s="131"/>
      <c r="J54" s="131"/>
      <c r="K54" s="131"/>
      <c r="L54" s="131"/>
      <c r="M54" s="30"/>
      <c r="N54" s="16"/>
    </row>
    <row r="55" spans="1:14" x14ac:dyDescent="0.3">
      <c r="A55" s="106"/>
      <c r="B55" s="107"/>
      <c r="C55" s="107"/>
      <c r="D55" s="113"/>
      <c r="F55" s="103"/>
      <c r="G55" s="104"/>
      <c r="H55" s="109"/>
      <c r="I55" s="131"/>
      <c r="J55" s="131"/>
      <c r="K55" s="131"/>
      <c r="L55" s="131"/>
      <c r="M55" s="30"/>
      <c r="N55" s="16"/>
    </row>
    <row r="56" spans="1:14" x14ac:dyDescent="0.3">
      <c r="A56" s="106"/>
      <c r="B56" s="107"/>
      <c r="C56" s="107"/>
      <c r="D56" s="114"/>
      <c r="F56" s="103"/>
      <c r="G56" s="104"/>
      <c r="H56" s="109"/>
      <c r="I56" s="131"/>
      <c r="J56" s="131"/>
      <c r="K56" s="131"/>
      <c r="L56" s="131"/>
      <c r="M56" s="30"/>
      <c r="N56" s="16"/>
    </row>
    <row r="57" spans="1:14" x14ac:dyDescent="0.3">
      <c r="A57" s="106"/>
      <c r="B57" s="107"/>
      <c r="C57" s="107"/>
      <c r="D57" s="113"/>
      <c r="F57" s="103"/>
      <c r="G57" s="104"/>
      <c r="H57" s="109"/>
      <c r="I57" s="131"/>
      <c r="J57" s="131"/>
      <c r="K57" s="131"/>
      <c r="L57" s="131"/>
      <c r="M57" s="30"/>
      <c r="N57" s="16"/>
    </row>
    <row r="58" spans="1:14" x14ac:dyDescent="0.3">
      <c r="A58" s="106"/>
      <c r="B58" s="107"/>
      <c r="C58" s="107"/>
      <c r="D58" s="114"/>
      <c r="F58" s="103"/>
      <c r="G58" s="104"/>
      <c r="H58" s="109"/>
      <c r="I58" s="131"/>
      <c r="J58" s="131"/>
      <c r="K58" s="131"/>
      <c r="L58" s="131"/>
      <c r="M58" s="30"/>
      <c r="N58" s="16"/>
    </row>
    <row r="59" spans="1:14" x14ac:dyDescent="0.3">
      <c r="A59" s="106"/>
      <c r="B59" s="107"/>
      <c r="C59" s="107"/>
      <c r="D59" s="113"/>
      <c r="F59" s="103"/>
      <c r="G59" s="104"/>
      <c r="H59" s="109"/>
      <c r="I59" s="131"/>
      <c r="J59" s="190"/>
      <c r="K59" s="190"/>
      <c r="L59" s="131"/>
      <c r="M59" s="30"/>
      <c r="N59" s="16"/>
    </row>
    <row r="60" spans="1:14" x14ac:dyDescent="0.3">
      <c r="A60" s="106"/>
      <c r="B60" s="107"/>
      <c r="C60" s="107"/>
      <c r="D60" s="114"/>
      <c r="F60" s="103"/>
      <c r="G60" s="104"/>
      <c r="H60" s="109"/>
      <c r="I60" s="189"/>
      <c r="J60" s="189"/>
      <c r="K60" s="189"/>
      <c r="L60" s="189"/>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78" t="s">
        <v>56</v>
      </c>
      <c r="B65" s="179"/>
      <c r="C65" s="179"/>
      <c r="D65" s="96">
        <f>SUM(Pest_84[Amount])</f>
        <v>0</v>
      </c>
      <c r="F65" s="173" t="s">
        <v>33</v>
      </c>
      <c r="G65" s="174"/>
      <c r="H65" s="174"/>
    </row>
    <row r="66" spans="1:8" x14ac:dyDescent="0.3">
      <c r="F66" s="173"/>
      <c r="G66" s="174"/>
      <c r="H66" s="174"/>
    </row>
    <row r="67" spans="1:8" ht="17.399999999999999" x14ac:dyDescent="0.3">
      <c r="A67" s="198" t="s">
        <v>69</v>
      </c>
      <c r="B67" s="198"/>
      <c r="C67" s="198"/>
      <c r="D67" s="198"/>
      <c r="E67" s="17"/>
      <c r="F67" s="183" t="s">
        <v>57</v>
      </c>
      <c r="G67" s="184"/>
      <c r="H67" s="185"/>
    </row>
    <row r="68" spans="1:8" x14ac:dyDescent="0.3">
      <c r="A68" s="21" t="s">
        <v>21</v>
      </c>
      <c r="B68" s="22" t="s">
        <v>22</v>
      </c>
      <c r="C68" s="22" t="s">
        <v>23</v>
      </c>
      <c r="D68" s="23" t="s">
        <v>25</v>
      </c>
      <c r="E68" s="24"/>
      <c r="F68" s="186"/>
      <c r="G68" s="187"/>
      <c r="H68" s="188"/>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78" t="s">
        <v>58</v>
      </c>
      <c r="B84" s="179"/>
      <c r="C84" s="179"/>
      <c r="D84" s="96">
        <f>SUM(Garbage_84[Amount])</f>
        <v>0</v>
      </c>
      <c r="E84" s="34"/>
      <c r="F84" s="173" t="s">
        <v>33</v>
      </c>
      <c r="G84" s="174"/>
      <c r="H84" s="174"/>
    </row>
    <row r="85" spans="1:8" x14ac:dyDescent="0.3">
      <c r="A85" s="38"/>
      <c r="B85" s="38"/>
      <c r="C85" s="38"/>
      <c r="D85" s="39"/>
      <c r="E85" s="40"/>
      <c r="F85" s="173"/>
      <c r="G85" s="174"/>
      <c r="H85" s="174"/>
    </row>
    <row r="86" spans="1:8" ht="17.399999999999999" x14ac:dyDescent="0.3">
      <c r="A86" s="191" t="s">
        <v>59</v>
      </c>
      <c r="B86" s="192"/>
      <c r="C86" s="192"/>
      <c r="D86" s="193"/>
      <c r="E86" s="17"/>
      <c r="F86" s="183" t="s">
        <v>60</v>
      </c>
      <c r="G86" s="184"/>
      <c r="H86" s="185"/>
    </row>
    <row r="87" spans="1:8" x14ac:dyDescent="0.3">
      <c r="A87" s="21" t="s">
        <v>21</v>
      </c>
      <c r="B87" s="22" t="s">
        <v>22</v>
      </c>
      <c r="C87" s="22" t="s">
        <v>23</v>
      </c>
      <c r="D87" s="23" t="s">
        <v>25</v>
      </c>
      <c r="E87" s="41"/>
      <c r="F87" s="186"/>
      <c r="G87" s="187"/>
      <c r="H87" s="188"/>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78" t="s">
        <v>61</v>
      </c>
      <c r="B103" s="179"/>
      <c r="C103" s="179"/>
      <c r="D103" s="96">
        <f>SUM(Boarding_84[Amount])</f>
        <v>0</v>
      </c>
      <c r="E103" s="34"/>
      <c r="F103" s="173" t="s">
        <v>33</v>
      </c>
      <c r="G103" s="174"/>
      <c r="H103" s="174"/>
    </row>
    <row r="104" spans="1:8" x14ac:dyDescent="0.3">
      <c r="A104" s="38"/>
      <c r="B104" s="38"/>
      <c r="C104" s="38"/>
      <c r="D104" s="39"/>
      <c r="E104" s="40"/>
      <c r="F104" s="173"/>
      <c r="G104" s="174"/>
      <c r="H104" s="174"/>
    </row>
    <row r="105" spans="1:8" ht="17.399999999999999" x14ac:dyDescent="0.3">
      <c r="A105" s="191" t="s">
        <v>70</v>
      </c>
      <c r="B105" s="192"/>
      <c r="C105" s="192"/>
      <c r="D105" s="193"/>
      <c r="E105" s="17"/>
      <c r="F105" s="183" t="s">
        <v>62</v>
      </c>
      <c r="G105" s="184"/>
      <c r="H105" s="185"/>
    </row>
    <row r="106" spans="1:8" x14ac:dyDescent="0.3">
      <c r="A106" s="21" t="s">
        <v>21</v>
      </c>
      <c r="B106" s="22" t="s">
        <v>22</v>
      </c>
      <c r="C106" s="22" t="s">
        <v>23</v>
      </c>
      <c r="D106" s="23" t="s">
        <v>25</v>
      </c>
      <c r="E106" s="41"/>
      <c r="F106" s="186"/>
      <c r="G106" s="187"/>
      <c r="H106" s="188"/>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78" t="s">
        <v>63</v>
      </c>
      <c r="B122" s="179"/>
      <c r="C122" s="179"/>
      <c r="D122" s="96">
        <f>SUM(Fence_84[Amount])</f>
        <v>0</v>
      </c>
      <c r="E122" s="34"/>
      <c r="F122" s="173" t="s">
        <v>33</v>
      </c>
      <c r="G122" s="174"/>
      <c r="H122" s="174"/>
    </row>
    <row r="123" spans="1:8" x14ac:dyDescent="0.3">
      <c r="F123" s="173"/>
      <c r="G123" s="174"/>
      <c r="H123" s="174"/>
    </row>
    <row r="124" spans="1:8" ht="17.399999999999999" x14ac:dyDescent="0.3">
      <c r="A124" s="191" t="s">
        <v>26</v>
      </c>
      <c r="B124" s="192"/>
      <c r="C124" s="192"/>
      <c r="D124" s="193"/>
      <c r="E124" s="17"/>
      <c r="F124" s="183" t="s">
        <v>11</v>
      </c>
      <c r="G124" s="184"/>
      <c r="H124" s="185"/>
    </row>
    <row r="125" spans="1:8" x14ac:dyDescent="0.3">
      <c r="A125" s="21" t="s">
        <v>21</v>
      </c>
      <c r="B125" s="22" t="s">
        <v>22</v>
      </c>
      <c r="C125" s="22" t="s">
        <v>23</v>
      </c>
      <c r="D125" s="23" t="s">
        <v>25</v>
      </c>
      <c r="E125" s="41"/>
      <c r="F125" s="186"/>
      <c r="G125" s="187"/>
      <c r="H125" s="188"/>
    </row>
    <row r="126" spans="1:8" x14ac:dyDescent="0.3">
      <c r="A126" s="100"/>
      <c r="B126" s="101"/>
      <c r="C126" s="101"/>
      <c r="D126" s="112">
        <v>17210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78" t="s">
        <v>27</v>
      </c>
      <c r="B141" s="179"/>
      <c r="C141" s="179"/>
      <c r="D141" s="96">
        <f>SUM(Demolition_84[Amount])</f>
        <v>17210</v>
      </c>
      <c r="E141" s="34"/>
      <c r="F141" s="173" t="s">
        <v>33</v>
      </c>
      <c r="G141" s="174"/>
      <c r="H141" s="174"/>
    </row>
    <row r="142" spans="1:8" x14ac:dyDescent="0.3">
      <c r="A142" s="38"/>
      <c r="B142" s="38"/>
      <c r="C142" s="38"/>
      <c r="D142" s="39"/>
      <c r="E142" s="40"/>
      <c r="F142" s="173"/>
      <c r="G142" s="174"/>
      <c r="H142" s="174"/>
    </row>
    <row r="143" spans="1:8" ht="17.399999999999999" x14ac:dyDescent="0.3">
      <c r="A143" s="191" t="s">
        <v>64</v>
      </c>
      <c r="B143" s="192"/>
      <c r="C143" s="192"/>
      <c r="D143" s="193"/>
      <c r="E143" s="17"/>
      <c r="F143" s="183" t="s">
        <v>44</v>
      </c>
      <c r="G143" s="184"/>
      <c r="H143" s="185"/>
    </row>
    <row r="144" spans="1:8" x14ac:dyDescent="0.3">
      <c r="A144" s="21" t="s">
        <v>21</v>
      </c>
      <c r="B144" s="22" t="s">
        <v>22</v>
      </c>
      <c r="C144" s="22" t="s">
        <v>23</v>
      </c>
      <c r="D144" s="23" t="s">
        <v>25</v>
      </c>
      <c r="E144" s="41"/>
      <c r="F144" s="186"/>
      <c r="G144" s="187"/>
      <c r="H144" s="188"/>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78" t="s">
        <v>65</v>
      </c>
      <c r="B160" s="179"/>
      <c r="C160" s="179"/>
      <c r="D160" s="96">
        <f>SUM(Rehab_84[Amount])</f>
        <v>0</v>
      </c>
      <c r="E160" s="34"/>
      <c r="F160" s="173" t="s">
        <v>33</v>
      </c>
      <c r="G160" s="174"/>
      <c r="H160" s="174"/>
    </row>
    <row r="161" spans="6:8" x14ac:dyDescent="0.3">
      <c r="F161" s="173"/>
      <c r="G161" s="174"/>
      <c r="H161" s="174"/>
    </row>
  </sheetData>
  <sheetProtection algorithmName="SHA-512" hashValue="ew4KYEQKZXVj4HRtIXoVJH2R/1DvrYW/KFI3DhPLE86BNhv+bkEUNcSI7cZgOmOE2EQc+Uf5rR1j/v8ZeuxAKQ==" saltValue="1VpzsDkT0QKU9vCO3xMEQw=="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61"/>
  <sheetViews>
    <sheetView showGridLines="0" zoomScaleNormal="100" workbookViewId="0">
      <pane ySplit="9" topLeftCell="A110"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5" t="s">
        <v>24</v>
      </c>
      <c r="B1" s="175"/>
      <c r="C1" s="175"/>
      <c r="D1" s="175"/>
      <c r="E1" s="1"/>
      <c r="F1" s="2"/>
      <c r="G1" s="2"/>
      <c r="H1" s="1"/>
    </row>
    <row r="2" spans="1:14" ht="24.9" customHeight="1" x14ac:dyDescent="0.3">
      <c r="A2" s="176" t="s">
        <v>71</v>
      </c>
      <c r="B2" s="176"/>
      <c r="C2" s="176"/>
      <c r="D2" s="176"/>
      <c r="E2" s="4"/>
      <c r="F2" s="130"/>
      <c r="G2" s="130"/>
      <c r="H2" s="5"/>
    </row>
    <row r="3" spans="1:14" ht="31.5" customHeight="1" x14ac:dyDescent="0.3">
      <c r="A3" s="176"/>
      <c r="B3" s="176"/>
      <c r="C3" s="176"/>
      <c r="D3" s="176"/>
      <c r="E3" s="4"/>
      <c r="F3" s="130"/>
      <c r="G3" s="130"/>
      <c r="H3" s="5"/>
    </row>
    <row r="4" spans="1:14" ht="15" customHeight="1" x14ac:dyDescent="0.25">
      <c r="A4" s="75" t="s">
        <v>19</v>
      </c>
      <c r="B4" s="194" t="str">
        <f>IF('Summary Sheet'!B117="","",'Summary Sheet'!B117)</f>
        <v>339 W 110TH ST</v>
      </c>
      <c r="C4" s="194"/>
      <c r="D4" s="130"/>
      <c r="E4" s="4"/>
      <c r="F4" s="130"/>
      <c r="G4" s="130"/>
      <c r="H4" s="5"/>
    </row>
    <row r="5" spans="1:14" ht="15" customHeight="1" x14ac:dyDescent="0.25">
      <c r="A5" s="75" t="s">
        <v>20</v>
      </c>
      <c r="B5" s="195" t="str">
        <f>IF('Summary Sheet'!C117="","",'Summary Sheet'!C117)</f>
        <v/>
      </c>
      <c r="C5" s="195"/>
      <c r="D5" s="130"/>
      <c r="E5" s="4"/>
      <c r="F5" s="130"/>
      <c r="G5" s="130"/>
      <c r="H5" s="5"/>
    </row>
    <row r="6" spans="1:14" ht="15" customHeight="1" x14ac:dyDescent="0.25">
      <c r="A6" s="75" t="s">
        <v>36</v>
      </c>
      <c r="B6" s="177"/>
      <c r="C6" s="177"/>
      <c r="D6" s="6"/>
      <c r="E6" s="7"/>
    </row>
    <row r="7" spans="1:14" ht="15" customHeight="1" x14ac:dyDescent="0.25">
      <c r="A7" s="7"/>
      <c r="B7" s="196" t="s">
        <v>34</v>
      </c>
      <c r="C7" s="196"/>
      <c r="D7" s="10"/>
    </row>
    <row r="8" spans="1:14" ht="20.100000000000001" customHeight="1" x14ac:dyDescent="0.25">
      <c r="B8" s="11"/>
      <c r="C8" s="11"/>
      <c r="D8" s="12" t="s">
        <v>31</v>
      </c>
      <c r="F8" s="180" t="s">
        <v>32</v>
      </c>
      <c r="G8" s="181"/>
      <c r="H8" s="182"/>
    </row>
    <row r="9" spans="1:14" s="14" customFormat="1" ht="20.100000000000001" customHeight="1" x14ac:dyDescent="0.25">
      <c r="A9" s="197"/>
      <c r="B9" s="197"/>
      <c r="C9" s="197"/>
      <c r="D9" s="13">
        <f>SUM(D27,D46,D65,D84,D103,D122,D141,D160)</f>
        <v>15710</v>
      </c>
      <c r="F9" s="15" t="s">
        <v>28</v>
      </c>
      <c r="G9" s="15" t="s">
        <v>29</v>
      </c>
      <c r="H9" s="15" t="s">
        <v>30</v>
      </c>
      <c r="I9" s="16"/>
      <c r="J9" s="16"/>
      <c r="K9" s="16"/>
      <c r="L9" s="16"/>
      <c r="M9" s="16"/>
      <c r="N9" s="16"/>
    </row>
    <row r="10" spans="1:14" s="17" customFormat="1" ht="23.1" customHeight="1" x14ac:dyDescent="0.3">
      <c r="A10" s="198" t="s">
        <v>51</v>
      </c>
      <c r="B10" s="198"/>
      <c r="C10" s="198"/>
      <c r="D10" s="198"/>
      <c r="F10" s="183" t="s">
        <v>66</v>
      </c>
      <c r="G10" s="184"/>
      <c r="H10" s="185"/>
      <c r="I10" s="18"/>
      <c r="J10" s="18"/>
      <c r="K10" s="18"/>
      <c r="L10" s="18"/>
      <c r="M10" s="19"/>
      <c r="N10" s="20"/>
    </row>
    <row r="11" spans="1:14" s="24" customFormat="1" ht="12.75" customHeight="1" x14ac:dyDescent="0.25">
      <c r="A11" s="21" t="s">
        <v>21</v>
      </c>
      <c r="B11" s="22" t="s">
        <v>22</v>
      </c>
      <c r="C11" s="22" t="s">
        <v>23</v>
      </c>
      <c r="D11" s="23" t="s">
        <v>25</v>
      </c>
      <c r="F11" s="186"/>
      <c r="G11" s="187"/>
      <c r="H11" s="188"/>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78" t="s">
        <v>53</v>
      </c>
      <c r="B27" s="179"/>
      <c r="C27" s="179"/>
      <c r="D27" s="96">
        <f>SUM(Grass_85[Amount])</f>
        <v>0</v>
      </c>
      <c r="F27" s="173" t="s">
        <v>33</v>
      </c>
      <c r="G27" s="174"/>
      <c r="H27" s="174"/>
      <c r="I27" s="35"/>
      <c r="J27" s="35"/>
      <c r="K27" s="35"/>
      <c r="L27" s="35"/>
      <c r="M27" s="36"/>
      <c r="N27" s="37"/>
    </row>
    <row r="28" spans="1:14" s="40" customFormat="1" ht="11.1" customHeight="1" x14ac:dyDescent="0.3">
      <c r="A28" s="38"/>
      <c r="B28" s="38"/>
      <c r="C28" s="38"/>
      <c r="D28" s="39"/>
      <c r="F28" s="173"/>
      <c r="G28" s="174"/>
      <c r="H28" s="174"/>
      <c r="I28" s="35"/>
      <c r="J28" s="35"/>
      <c r="K28" s="35"/>
      <c r="L28" s="35"/>
      <c r="M28" s="36"/>
      <c r="N28" s="37"/>
    </row>
    <row r="29" spans="1:14" s="17" customFormat="1" ht="23.1" customHeight="1" x14ac:dyDescent="0.3">
      <c r="A29" s="191" t="s">
        <v>67</v>
      </c>
      <c r="B29" s="192"/>
      <c r="C29" s="192"/>
      <c r="D29" s="193"/>
      <c r="F29" s="183" t="s">
        <v>52</v>
      </c>
      <c r="G29" s="184"/>
      <c r="H29" s="185"/>
      <c r="I29" s="18"/>
      <c r="J29" s="18"/>
      <c r="K29" s="18"/>
      <c r="L29" s="18"/>
      <c r="M29" s="19"/>
      <c r="N29" s="20"/>
    </row>
    <row r="30" spans="1:14" s="41" customFormat="1" ht="12.75" customHeight="1" x14ac:dyDescent="0.25">
      <c r="A30" s="21" t="s">
        <v>21</v>
      </c>
      <c r="B30" s="22" t="s">
        <v>22</v>
      </c>
      <c r="C30" s="22" t="s">
        <v>23</v>
      </c>
      <c r="D30" s="23" t="s">
        <v>25</v>
      </c>
      <c r="F30" s="186"/>
      <c r="G30" s="187"/>
      <c r="H30" s="188"/>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31"/>
      <c r="J44" s="29"/>
      <c r="K44" s="29"/>
      <c r="L44" s="131"/>
      <c r="M44" s="30"/>
      <c r="N44" s="16"/>
    </row>
    <row r="45" spans="1:14" x14ac:dyDescent="0.3">
      <c r="A45" s="106"/>
      <c r="B45" s="107"/>
      <c r="C45" s="107"/>
      <c r="D45" s="114"/>
      <c r="F45" s="103"/>
      <c r="G45" s="104"/>
      <c r="H45" s="109"/>
      <c r="I45" s="131"/>
      <c r="J45" s="29"/>
      <c r="K45" s="29"/>
      <c r="L45" s="131"/>
      <c r="M45" s="30"/>
      <c r="N45" s="16"/>
    </row>
    <row r="46" spans="1:14" s="34" customFormat="1" x14ac:dyDescent="0.3">
      <c r="A46" s="178" t="s">
        <v>54</v>
      </c>
      <c r="B46" s="179"/>
      <c r="C46" s="179"/>
      <c r="D46" s="96">
        <f>SUM(Tree_85[Amount])</f>
        <v>0</v>
      </c>
      <c r="F46" s="173" t="s">
        <v>33</v>
      </c>
      <c r="G46" s="174"/>
      <c r="H46" s="174"/>
      <c r="I46" s="43"/>
      <c r="J46" s="43"/>
      <c r="K46" s="43"/>
      <c r="L46" s="43"/>
      <c r="M46" s="36"/>
      <c r="N46" s="37"/>
    </row>
    <row r="47" spans="1:14" s="40" customFormat="1" ht="11.1" customHeight="1" x14ac:dyDescent="0.3">
      <c r="A47" s="38"/>
      <c r="B47" s="38"/>
      <c r="C47" s="38"/>
      <c r="D47" s="39"/>
      <c r="F47" s="173"/>
      <c r="G47" s="174"/>
      <c r="H47" s="174"/>
      <c r="I47" s="43"/>
      <c r="J47" s="43"/>
      <c r="K47" s="43"/>
      <c r="L47" s="43"/>
      <c r="M47" s="36"/>
      <c r="N47" s="37"/>
    </row>
    <row r="48" spans="1:14" s="17" customFormat="1" ht="23.1" customHeight="1" x14ac:dyDescent="0.3">
      <c r="A48" s="191" t="s">
        <v>68</v>
      </c>
      <c r="B48" s="192"/>
      <c r="C48" s="192"/>
      <c r="D48" s="193"/>
      <c r="F48" s="183" t="s">
        <v>55</v>
      </c>
      <c r="G48" s="184"/>
      <c r="H48" s="185"/>
      <c r="I48" s="44"/>
      <c r="J48" s="44"/>
      <c r="K48" s="44"/>
      <c r="L48" s="44"/>
      <c r="M48" s="19"/>
      <c r="N48" s="20"/>
    </row>
    <row r="49" spans="1:14" s="41" customFormat="1" ht="12.75" customHeight="1" x14ac:dyDescent="0.25">
      <c r="A49" s="21" t="s">
        <v>21</v>
      </c>
      <c r="B49" s="22" t="s">
        <v>22</v>
      </c>
      <c r="C49" s="22" t="s">
        <v>23</v>
      </c>
      <c r="D49" s="23" t="s">
        <v>25</v>
      </c>
      <c r="F49" s="186"/>
      <c r="G49" s="187"/>
      <c r="H49" s="188"/>
      <c r="I49" s="131"/>
      <c r="J49" s="131"/>
      <c r="K49" s="131"/>
      <c r="L49" s="131"/>
      <c r="M49" s="30"/>
      <c r="N49" s="42"/>
    </row>
    <row r="50" spans="1:14" x14ac:dyDescent="0.3">
      <c r="A50" s="100"/>
      <c r="B50" s="101"/>
      <c r="C50" s="101"/>
      <c r="D50" s="112"/>
      <c r="F50" s="103"/>
      <c r="G50" s="104"/>
      <c r="H50" s="109"/>
      <c r="I50" s="131"/>
      <c r="J50" s="131"/>
      <c r="K50" s="131"/>
      <c r="L50" s="131"/>
      <c r="M50" s="30"/>
      <c r="N50" s="16"/>
    </row>
    <row r="51" spans="1:14" x14ac:dyDescent="0.3">
      <c r="A51" s="106"/>
      <c r="B51" s="107"/>
      <c r="C51" s="107"/>
      <c r="D51" s="113"/>
      <c r="F51" s="103"/>
      <c r="G51" s="104"/>
      <c r="H51" s="109"/>
      <c r="I51" s="131"/>
      <c r="J51" s="131"/>
      <c r="K51" s="131"/>
      <c r="L51" s="131"/>
      <c r="M51" s="30"/>
      <c r="N51" s="16"/>
    </row>
    <row r="52" spans="1:14" x14ac:dyDescent="0.3">
      <c r="A52" s="106"/>
      <c r="B52" s="107"/>
      <c r="C52" s="107"/>
      <c r="D52" s="114"/>
      <c r="F52" s="103"/>
      <c r="H52" s="109"/>
      <c r="I52" s="131"/>
      <c r="J52" s="131"/>
      <c r="K52" s="131"/>
      <c r="L52" s="131"/>
      <c r="M52" s="30"/>
      <c r="N52" s="16"/>
    </row>
    <row r="53" spans="1:14" x14ac:dyDescent="0.3">
      <c r="A53" s="106"/>
      <c r="B53" s="107"/>
      <c r="C53" s="107"/>
      <c r="D53" s="113"/>
      <c r="F53" s="103"/>
      <c r="G53" s="104"/>
      <c r="H53" s="109"/>
      <c r="I53" s="131"/>
      <c r="J53" s="131"/>
      <c r="K53" s="131"/>
      <c r="L53" s="131"/>
      <c r="M53" s="30"/>
      <c r="N53" s="16"/>
    </row>
    <row r="54" spans="1:14" x14ac:dyDescent="0.3">
      <c r="A54" s="106"/>
      <c r="B54" s="107"/>
      <c r="C54" s="107"/>
      <c r="D54" s="114"/>
      <c r="F54" s="103"/>
      <c r="G54" s="104"/>
      <c r="H54" s="109"/>
      <c r="I54" s="131"/>
      <c r="J54" s="131"/>
      <c r="K54" s="131"/>
      <c r="L54" s="131"/>
      <c r="M54" s="30"/>
      <c r="N54" s="16"/>
    </row>
    <row r="55" spans="1:14" x14ac:dyDescent="0.3">
      <c r="A55" s="106"/>
      <c r="B55" s="107"/>
      <c r="C55" s="107"/>
      <c r="D55" s="113"/>
      <c r="F55" s="103"/>
      <c r="G55" s="104"/>
      <c r="H55" s="109"/>
      <c r="I55" s="131"/>
      <c r="J55" s="131"/>
      <c r="K55" s="131"/>
      <c r="L55" s="131"/>
      <c r="M55" s="30"/>
      <c r="N55" s="16"/>
    </row>
    <row r="56" spans="1:14" x14ac:dyDescent="0.3">
      <c r="A56" s="106"/>
      <c r="B56" s="107"/>
      <c r="C56" s="107"/>
      <c r="D56" s="114"/>
      <c r="F56" s="103"/>
      <c r="G56" s="104"/>
      <c r="H56" s="109"/>
      <c r="I56" s="131"/>
      <c r="J56" s="131"/>
      <c r="K56" s="131"/>
      <c r="L56" s="131"/>
      <c r="M56" s="30"/>
      <c r="N56" s="16"/>
    </row>
    <row r="57" spans="1:14" x14ac:dyDescent="0.3">
      <c r="A57" s="106"/>
      <c r="B57" s="107"/>
      <c r="C57" s="107"/>
      <c r="D57" s="113"/>
      <c r="F57" s="103"/>
      <c r="G57" s="104"/>
      <c r="H57" s="109"/>
      <c r="I57" s="131"/>
      <c r="J57" s="131"/>
      <c r="K57" s="131"/>
      <c r="L57" s="131"/>
      <c r="M57" s="30"/>
      <c r="N57" s="16"/>
    </row>
    <row r="58" spans="1:14" x14ac:dyDescent="0.3">
      <c r="A58" s="106"/>
      <c r="B58" s="107"/>
      <c r="C58" s="107"/>
      <c r="D58" s="114"/>
      <c r="F58" s="103"/>
      <c r="G58" s="104"/>
      <c r="H58" s="109"/>
      <c r="I58" s="131"/>
      <c r="J58" s="131"/>
      <c r="K58" s="131"/>
      <c r="L58" s="131"/>
      <c r="M58" s="30"/>
      <c r="N58" s="16"/>
    </row>
    <row r="59" spans="1:14" x14ac:dyDescent="0.3">
      <c r="A59" s="106"/>
      <c r="B59" s="107"/>
      <c r="C59" s="107"/>
      <c r="D59" s="113"/>
      <c r="F59" s="103"/>
      <c r="G59" s="104"/>
      <c r="H59" s="109"/>
      <c r="I59" s="131"/>
      <c r="J59" s="190"/>
      <c r="K59" s="190"/>
      <c r="L59" s="131"/>
      <c r="M59" s="30"/>
      <c r="N59" s="16"/>
    </row>
    <row r="60" spans="1:14" x14ac:dyDescent="0.3">
      <c r="A60" s="106"/>
      <c r="B60" s="107"/>
      <c r="C60" s="107"/>
      <c r="D60" s="114"/>
      <c r="F60" s="103"/>
      <c r="G60" s="104"/>
      <c r="H60" s="109"/>
      <c r="I60" s="189"/>
      <c r="J60" s="189"/>
      <c r="K60" s="189"/>
      <c r="L60" s="189"/>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78" t="s">
        <v>56</v>
      </c>
      <c r="B65" s="179"/>
      <c r="C65" s="179"/>
      <c r="D65" s="96">
        <f>SUM(Pest_85[Amount])</f>
        <v>0</v>
      </c>
      <c r="F65" s="173" t="s">
        <v>33</v>
      </c>
      <c r="G65" s="174"/>
      <c r="H65" s="174"/>
    </row>
    <row r="66" spans="1:8" x14ac:dyDescent="0.3">
      <c r="F66" s="173"/>
      <c r="G66" s="174"/>
      <c r="H66" s="174"/>
    </row>
    <row r="67" spans="1:8" ht="17.399999999999999" x14ac:dyDescent="0.3">
      <c r="A67" s="198" t="s">
        <v>69</v>
      </c>
      <c r="B67" s="198"/>
      <c r="C67" s="198"/>
      <c r="D67" s="198"/>
      <c r="E67" s="17"/>
      <c r="F67" s="183" t="s">
        <v>57</v>
      </c>
      <c r="G67" s="184"/>
      <c r="H67" s="185"/>
    </row>
    <row r="68" spans="1:8" x14ac:dyDescent="0.3">
      <c r="A68" s="21" t="s">
        <v>21</v>
      </c>
      <c r="B68" s="22" t="s">
        <v>22</v>
      </c>
      <c r="C68" s="22" t="s">
        <v>23</v>
      </c>
      <c r="D68" s="23" t="s">
        <v>25</v>
      </c>
      <c r="E68" s="24"/>
      <c r="F68" s="186"/>
      <c r="G68" s="187"/>
      <c r="H68" s="188"/>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78" t="s">
        <v>58</v>
      </c>
      <c r="B84" s="179"/>
      <c r="C84" s="179"/>
      <c r="D84" s="96">
        <f>SUM(Garbage_85[Amount])</f>
        <v>0</v>
      </c>
      <c r="E84" s="34"/>
      <c r="F84" s="173" t="s">
        <v>33</v>
      </c>
      <c r="G84" s="174"/>
      <c r="H84" s="174"/>
    </row>
    <row r="85" spans="1:8" x14ac:dyDescent="0.3">
      <c r="A85" s="38"/>
      <c r="B85" s="38"/>
      <c r="C85" s="38"/>
      <c r="D85" s="39"/>
      <c r="E85" s="40"/>
      <c r="F85" s="173"/>
      <c r="G85" s="174"/>
      <c r="H85" s="174"/>
    </row>
    <row r="86" spans="1:8" ht="17.399999999999999" x14ac:dyDescent="0.3">
      <c r="A86" s="191" t="s">
        <v>59</v>
      </c>
      <c r="B86" s="192"/>
      <c r="C86" s="192"/>
      <c r="D86" s="193"/>
      <c r="E86" s="17"/>
      <c r="F86" s="183" t="s">
        <v>60</v>
      </c>
      <c r="G86" s="184"/>
      <c r="H86" s="185"/>
    </row>
    <row r="87" spans="1:8" x14ac:dyDescent="0.3">
      <c r="A87" s="21" t="s">
        <v>21</v>
      </c>
      <c r="B87" s="22" t="s">
        <v>22</v>
      </c>
      <c r="C87" s="22" t="s">
        <v>23</v>
      </c>
      <c r="D87" s="23" t="s">
        <v>25</v>
      </c>
      <c r="E87" s="41"/>
      <c r="F87" s="186"/>
      <c r="G87" s="187"/>
      <c r="H87" s="188"/>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78" t="s">
        <v>61</v>
      </c>
      <c r="B103" s="179"/>
      <c r="C103" s="179"/>
      <c r="D103" s="96">
        <f>SUM(Boarding_85[Amount])</f>
        <v>0</v>
      </c>
      <c r="E103" s="34"/>
      <c r="F103" s="173" t="s">
        <v>33</v>
      </c>
      <c r="G103" s="174"/>
      <c r="H103" s="174"/>
    </row>
    <row r="104" spans="1:8" x14ac:dyDescent="0.3">
      <c r="A104" s="38"/>
      <c r="B104" s="38"/>
      <c r="C104" s="38"/>
      <c r="D104" s="39"/>
      <c r="E104" s="40"/>
      <c r="F104" s="173"/>
      <c r="G104" s="174"/>
      <c r="H104" s="174"/>
    </row>
    <row r="105" spans="1:8" ht="17.399999999999999" x14ac:dyDescent="0.3">
      <c r="A105" s="191" t="s">
        <v>70</v>
      </c>
      <c r="B105" s="192"/>
      <c r="C105" s="192"/>
      <c r="D105" s="193"/>
      <c r="E105" s="17"/>
      <c r="F105" s="183" t="s">
        <v>62</v>
      </c>
      <c r="G105" s="184"/>
      <c r="H105" s="185"/>
    </row>
    <row r="106" spans="1:8" x14ac:dyDescent="0.3">
      <c r="A106" s="21" t="s">
        <v>21</v>
      </c>
      <c r="B106" s="22" t="s">
        <v>22</v>
      </c>
      <c r="C106" s="22" t="s">
        <v>23</v>
      </c>
      <c r="D106" s="23" t="s">
        <v>25</v>
      </c>
      <c r="E106" s="41"/>
      <c r="F106" s="186"/>
      <c r="G106" s="187"/>
      <c r="H106" s="188"/>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78" t="s">
        <v>63</v>
      </c>
      <c r="B122" s="179"/>
      <c r="C122" s="179"/>
      <c r="D122" s="96">
        <f>SUM(Fence_85[Amount])</f>
        <v>0</v>
      </c>
      <c r="E122" s="34"/>
      <c r="F122" s="173" t="s">
        <v>33</v>
      </c>
      <c r="G122" s="174"/>
      <c r="H122" s="174"/>
    </row>
    <row r="123" spans="1:8" x14ac:dyDescent="0.3">
      <c r="F123" s="173"/>
      <c r="G123" s="174"/>
      <c r="H123" s="174"/>
    </row>
    <row r="124" spans="1:8" ht="17.399999999999999" x14ac:dyDescent="0.3">
      <c r="A124" s="191" t="s">
        <v>26</v>
      </c>
      <c r="B124" s="192"/>
      <c r="C124" s="192"/>
      <c r="D124" s="193"/>
      <c r="E124" s="17"/>
      <c r="F124" s="183" t="s">
        <v>11</v>
      </c>
      <c r="G124" s="184"/>
      <c r="H124" s="185"/>
    </row>
    <row r="125" spans="1:8" x14ac:dyDescent="0.3">
      <c r="A125" s="21" t="s">
        <v>21</v>
      </c>
      <c r="B125" s="22" t="s">
        <v>22</v>
      </c>
      <c r="C125" s="22" t="s">
        <v>23</v>
      </c>
      <c r="D125" s="23" t="s">
        <v>25</v>
      </c>
      <c r="E125" s="41"/>
      <c r="F125" s="186"/>
      <c r="G125" s="187"/>
      <c r="H125" s="188"/>
    </row>
    <row r="126" spans="1:8" x14ac:dyDescent="0.3">
      <c r="A126" s="100"/>
      <c r="B126" s="101"/>
      <c r="C126" s="101"/>
      <c r="D126" s="112">
        <v>15710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78" t="s">
        <v>27</v>
      </c>
      <c r="B141" s="179"/>
      <c r="C141" s="179"/>
      <c r="D141" s="96">
        <f>SUM(Demolition_85[Amount])</f>
        <v>15710</v>
      </c>
      <c r="E141" s="34"/>
      <c r="F141" s="173" t="s">
        <v>33</v>
      </c>
      <c r="G141" s="174"/>
      <c r="H141" s="174"/>
    </row>
    <row r="142" spans="1:8" x14ac:dyDescent="0.3">
      <c r="A142" s="38"/>
      <c r="B142" s="38"/>
      <c r="C142" s="38"/>
      <c r="D142" s="39"/>
      <c r="E142" s="40"/>
      <c r="F142" s="173"/>
      <c r="G142" s="174"/>
      <c r="H142" s="174"/>
    </row>
    <row r="143" spans="1:8" ht="17.399999999999999" x14ac:dyDescent="0.3">
      <c r="A143" s="191" t="s">
        <v>64</v>
      </c>
      <c r="B143" s="192"/>
      <c r="C143" s="192"/>
      <c r="D143" s="193"/>
      <c r="E143" s="17"/>
      <c r="F143" s="183" t="s">
        <v>44</v>
      </c>
      <c r="G143" s="184"/>
      <c r="H143" s="185"/>
    </row>
    <row r="144" spans="1:8" x14ac:dyDescent="0.3">
      <c r="A144" s="21" t="s">
        <v>21</v>
      </c>
      <c r="B144" s="22" t="s">
        <v>22</v>
      </c>
      <c r="C144" s="22" t="s">
        <v>23</v>
      </c>
      <c r="D144" s="23" t="s">
        <v>25</v>
      </c>
      <c r="E144" s="41"/>
      <c r="F144" s="186"/>
      <c r="G144" s="187"/>
      <c r="H144" s="188"/>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78" t="s">
        <v>65</v>
      </c>
      <c r="B160" s="179"/>
      <c r="C160" s="179"/>
      <c r="D160" s="96">
        <f>SUM(Rehab_85[Amount])</f>
        <v>0</v>
      </c>
      <c r="E160" s="34"/>
      <c r="F160" s="173" t="s">
        <v>33</v>
      </c>
      <c r="G160" s="174"/>
      <c r="H160" s="174"/>
    </row>
    <row r="161" spans="6:8" x14ac:dyDescent="0.3">
      <c r="F161" s="173"/>
      <c r="G161" s="174"/>
      <c r="H161" s="174"/>
    </row>
  </sheetData>
  <sheetProtection algorithmName="SHA-512" hashValue="y5jqOlMBzO3XbvpBCCF5216MzmY3Avy1hn93aGT1iZSyUbx0wUN4L6IiLK3ZMbUXSEvbVFIyJ8Q173d1w8fvjw==" saltValue="YTO53lqH6wT3S0Sxrnjxqw=="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61"/>
  <sheetViews>
    <sheetView showGridLines="0" zoomScaleNormal="100" workbookViewId="0">
      <pane ySplit="9" topLeftCell="A110"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5" t="s">
        <v>24</v>
      </c>
      <c r="B1" s="175"/>
      <c r="C1" s="175"/>
      <c r="D1" s="175"/>
      <c r="E1" s="1"/>
      <c r="F1" s="2"/>
      <c r="G1" s="2"/>
      <c r="H1" s="1"/>
    </row>
    <row r="2" spans="1:14" ht="24.9" customHeight="1" x14ac:dyDescent="0.3">
      <c r="A2" s="176" t="s">
        <v>71</v>
      </c>
      <c r="B2" s="176"/>
      <c r="C2" s="176"/>
      <c r="D2" s="176"/>
      <c r="E2" s="4"/>
      <c r="F2" s="130"/>
      <c r="G2" s="130"/>
      <c r="H2" s="5"/>
    </row>
    <row r="3" spans="1:14" ht="31.5" customHeight="1" x14ac:dyDescent="0.3">
      <c r="A3" s="176"/>
      <c r="B3" s="176"/>
      <c r="C3" s="176"/>
      <c r="D3" s="176"/>
      <c r="E3" s="4"/>
      <c r="F3" s="130"/>
      <c r="G3" s="130"/>
      <c r="H3" s="5"/>
    </row>
    <row r="4" spans="1:14" ht="15" customHeight="1" x14ac:dyDescent="0.25">
      <c r="A4" s="75" t="s">
        <v>19</v>
      </c>
      <c r="B4" s="194" t="str">
        <f>IF('Summary Sheet'!B118="","",'Summary Sheet'!B118)</f>
        <v>3410 W OGDEN AVE</v>
      </c>
      <c r="C4" s="194"/>
      <c r="D4" s="130"/>
      <c r="E4" s="4"/>
      <c r="F4" s="130"/>
      <c r="G4" s="130"/>
      <c r="H4" s="5"/>
    </row>
    <row r="5" spans="1:14" ht="15" customHeight="1" x14ac:dyDescent="0.25">
      <c r="A5" s="75" t="s">
        <v>20</v>
      </c>
      <c r="B5" s="195" t="str">
        <f>IF('Summary Sheet'!C118="","",'Summary Sheet'!C118)</f>
        <v/>
      </c>
      <c r="C5" s="195"/>
      <c r="D5" s="130"/>
      <c r="E5" s="4"/>
      <c r="F5" s="130"/>
      <c r="G5" s="130"/>
      <c r="H5" s="5"/>
    </row>
    <row r="6" spans="1:14" ht="15" customHeight="1" x14ac:dyDescent="0.25">
      <c r="A6" s="75" t="s">
        <v>36</v>
      </c>
      <c r="B6" s="177"/>
      <c r="C6" s="177"/>
      <c r="D6" s="6"/>
      <c r="E6" s="7"/>
    </row>
    <row r="7" spans="1:14" ht="15" customHeight="1" x14ac:dyDescent="0.25">
      <c r="A7" s="7"/>
      <c r="B7" s="196" t="s">
        <v>34</v>
      </c>
      <c r="C7" s="196"/>
      <c r="D7" s="10"/>
    </row>
    <row r="8" spans="1:14" ht="20.100000000000001" customHeight="1" x14ac:dyDescent="0.25">
      <c r="B8" s="11"/>
      <c r="C8" s="11"/>
      <c r="D8" s="12" t="s">
        <v>31</v>
      </c>
      <c r="F8" s="180" t="s">
        <v>32</v>
      </c>
      <c r="G8" s="181"/>
      <c r="H8" s="182"/>
    </row>
    <row r="9" spans="1:14" s="14" customFormat="1" ht="20.100000000000001" customHeight="1" x14ac:dyDescent="0.25">
      <c r="A9" s="197"/>
      <c r="B9" s="197"/>
      <c r="C9" s="197"/>
      <c r="D9" s="13">
        <f>SUM(D27,D46,D65,D84,D103,D122,D141,D160)</f>
        <v>16210</v>
      </c>
      <c r="F9" s="15" t="s">
        <v>28</v>
      </c>
      <c r="G9" s="15" t="s">
        <v>29</v>
      </c>
      <c r="H9" s="15" t="s">
        <v>30</v>
      </c>
      <c r="I9" s="16"/>
      <c r="J9" s="16"/>
      <c r="K9" s="16"/>
      <c r="L9" s="16"/>
      <c r="M9" s="16"/>
      <c r="N9" s="16"/>
    </row>
    <row r="10" spans="1:14" s="17" customFormat="1" ht="23.1" customHeight="1" x14ac:dyDescent="0.3">
      <c r="A10" s="198" t="s">
        <v>51</v>
      </c>
      <c r="B10" s="198"/>
      <c r="C10" s="198"/>
      <c r="D10" s="198"/>
      <c r="F10" s="183" t="s">
        <v>66</v>
      </c>
      <c r="G10" s="184"/>
      <c r="H10" s="185"/>
      <c r="I10" s="18"/>
      <c r="J10" s="18"/>
      <c r="K10" s="18"/>
      <c r="L10" s="18"/>
      <c r="M10" s="19"/>
      <c r="N10" s="20"/>
    </row>
    <row r="11" spans="1:14" s="24" customFormat="1" ht="12.75" customHeight="1" x14ac:dyDescent="0.25">
      <c r="A11" s="21" t="s">
        <v>21</v>
      </c>
      <c r="B11" s="22" t="s">
        <v>22</v>
      </c>
      <c r="C11" s="22" t="s">
        <v>23</v>
      </c>
      <c r="D11" s="23" t="s">
        <v>25</v>
      </c>
      <c r="F11" s="186"/>
      <c r="G11" s="187"/>
      <c r="H11" s="188"/>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78" t="s">
        <v>53</v>
      </c>
      <c r="B27" s="179"/>
      <c r="C27" s="179"/>
      <c r="D27" s="96">
        <f>SUM(Grass_86[Amount])</f>
        <v>0</v>
      </c>
      <c r="F27" s="173" t="s">
        <v>33</v>
      </c>
      <c r="G27" s="174"/>
      <c r="H27" s="174"/>
      <c r="I27" s="35"/>
      <c r="J27" s="35"/>
      <c r="K27" s="35"/>
      <c r="L27" s="35"/>
      <c r="M27" s="36"/>
      <c r="N27" s="37"/>
    </row>
    <row r="28" spans="1:14" s="40" customFormat="1" ht="11.1" customHeight="1" x14ac:dyDescent="0.3">
      <c r="A28" s="38"/>
      <c r="B28" s="38"/>
      <c r="C28" s="38"/>
      <c r="D28" s="39"/>
      <c r="F28" s="173"/>
      <c r="G28" s="174"/>
      <c r="H28" s="174"/>
      <c r="I28" s="35"/>
      <c r="J28" s="35"/>
      <c r="K28" s="35"/>
      <c r="L28" s="35"/>
      <c r="M28" s="36"/>
      <c r="N28" s="37"/>
    </row>
    <row r="29" spans="1:14" s="17" customFormat="1" ht="23.1" customHeight="1" x14ac:dyDescent="0.3">
      <c r="A29" s="191" t="s">
        <v>67</v>
      </c>
      <c r="B29" s="192"/>
      <c r="C29" s="192"/>
      <c r="D29" s="193"/>
      <c r="F29" s="183" t="s">
        <v>52</v>
      </c>
      <c r="G29" s="184"/>
      <c r="H29" s="185"/>
      <c r="I29" s="18"/>
      <c r="J29" s="18"/>
      <c r="K29" s="18"/>
      <c r="L29" s="18"/>
      <c r="M29" s="19"/>
      <c r="N29" s="20"/>
    </row>
    <row r="30" spans="1:14" s="41" customFormat="1" ht="12.75" customHeight="1" x14ac:dyDescent="0.25">
      <c r="A30" s="21" t="s">
        <v>21</v>
      </c>
      <c r="B30" s="22" t="s">
        <v>22</v>
      </c>
      <c r="C30" s="22" t="s">
        <v>23</v>
      </c>
      <c r="D30" s="23" t="s">
        <v>25</v>
      </c>
      <c r="F30" s="186"/>
      <c r="G30" s="187"/>
      <c r="H30" s="188"/>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31"/>
      <c r="J44" s="29"/>
      <c r="K44" s="29"/>
      <c r="L44" s="131"/>
      <c r="M44" s="30"/>
      <c r="N44" s="16"/>
    </row>
    <row r="45" spans="1:14" x14ac:dyDescent="0.3">
      <c r="A45" s="106"/>
      <c r="B45" s="107"/>
      <c r="C45" s="107"/>
      <c r="D45" s="114"/>
      <c r="F45" s="103"/>
      <c r="G45" s="104"/>
      <c r="H45" s="109"/>
      <c r="I45" s="131"/>
      <c r="J45" s="29"/>
      <c r="K45" s="29"/>
      <c r="L45" s="131"/>
      <c r="M45" s="30"/>
      <c r="N45" s="16"/>
    </row>
    <row r="46" spans="1:14" s="34" customFormat="1" x14ac:dyDescent="0.3">
      <c r="A46" s="178" t="s">
        <v>54</v>
      </c>
      <c r="B46" s="179"/>
      <c r="C46" s="179"/>
      <c r="D46" s="96">
        <f>SUM(Tree_86[Amount])</f>
        <v>0</v>
      </c>
      <c r="F46" s="173" t="s">
        <v>33</v>
      </c>
      <c r="G46" s="174"/>
      <c r="H46" s="174"/>
      <c r="I46" s="43"/>
      <c r="J46" s="43"/>
      <c r="K46" s="43"/>
      <c r="L46" s="43"/>
      <c r="M46" s="36"/>
      <c r="N46" s="37"/>
    </row>
    <row r="47" spans="1:14" s="40" customFormat="1" ht="11.1" customHeight="1" x14ac:dyDescent="0.3">
      <c r="A47" s="38"/>
      <c r="B47" s="38"/>
      <c r="C47" s="38"/>
      <c r="D47" s="39"/>
      <c r="F47" s="173"/>
      <c r="G47" s="174"/>
      <c r="H47" s="174"/>
      <c r="I47" s="43"/>
      <c r="J47" s="43"/>
      <c r="K47" s="43"/>
      <c r="L47" s="43"/>
      <c r="M47" s="36"/>
      <c r="N47" s="37"/>
    </row>
    <row r="48" spans="1:14" s="17" customFormat="1" ht="23.1" customHeight="1" x14ac:dyDescent="0.3">
      <c r="A48" s="191" t="s">
        <v>68</v>
      </c>
      <c r="B48" s="192"/>
      <c r="C48" s="192"/>
      <c r="D48" s="193"/>
      <c r="F48" s="183" t="s">
        <v>55</v>
      </c>
      <c r="G48" s="184"/>
      <c r="H48" s="185"/>
      <c r="I48" s="44"/>
      <c r="J48" s="44"/>
      <c r="K48" s="44"/>
      <c r="L48" s="44"/>
      <c r="M48" s="19"/>
      <c r="N48" s="20"/>
    </row>
    <row r="49" spans="1:14" s="41" customFormat="1" ht="12.75" customHeight="1" x14ac:dyDescent="0.25">
      <c r="A49" s="21" t="s">
        <v>21</v>
      </c>
      <c r="B49" s="22" t="s">
        <v>22</v>
      </c>
      <c r="C49" s="22" t="s">
        <v>23</v>
      </c>
      <c r="D49" s="23" t="s">
        <v>25</v>
      </c>
      <c r="F49" s="186"/>
      <c r="G49" s="187"/>
      <c r="H49" s="188"/>
      <c r="I49" s="131"/>
      <c r="J49" s="131"/>
      <c r="K49" s="131"/>
      <c r="L49" s="131"/>
      <c r="M49" s="30"/>
      <c r="N49" s="42"/>
    </row>
    <row r="50" spans="1:14" x14ac:dyDescent="0.3">
      <c r="A50" s="100"/>
      <c r="B50" s="101"/>
      <c r="C50" s="101"/>
      <c r="D50" s="112"/>
      <c r="F50" s="103"/>
      <c r="G50" s="104"/>
      <c r="H50" s="109"/>
      <c r="I50" s="131"/>
      <c r="J50" s="131"/>
      <c r="K50" s="131"/>
      <c r="L50" s="131"/>
      <c r="M50" s="30"/>
      <c r="N50" s="16"/>
    </row>
    <row r="51" spans="1:14" x14ac:dyDescent="0.3">
      <c r="A51" s="106"/>
      <c r="B51" s="107"/>
      <c r="C51" s="107"/>
      <c r="D51" s="113"/>
      <c r="F51" s="103"/>
      <c r="G51" s="104"/>
      <c r="H51" s="109"/>
      <c r="I51" s="131"/>
      <c r="J51" s="131"/>
      <c r="K51" s="131"/>
      <c r="L51" s="131"/>
      <c r="M51" s="30"/>
      <c r="N51" s="16"/>
    </row>
    <row r="52" spans="1:14" x14ac:dyDescent="0.3">
      <c r="A52" s="106"/>
      <c r="B52" s="107"/>
      <c r="C52" s="107"/>
      <c r="D52" s="114"/>
      <c r="F52" s="103"/>
      <c r="H52" s="109"/>
      <c r="I52" s="131"/>
      <c r="J52" s="131"/>
      <c r="K52" s="131"/>
      <c r="L52" s="131"/>
      <c r="M52" s="30"/>
      <c r="N52" s="16"/>
    </row>
    <row r="53" spans="1:14" x14ac:dyDescent="0.3">
      <c r="A53" s="106"/>
      <c r="B53" s="107"/>
      <c r="C53" s="107"/>
      <c r="D53" s="113"/>
      <c r="F53" s="103"/>
      <c r="G53" s="104"/>
      <c r="H53" s="109"/>
      <c r="I53" s="131"/>
      <c r="J53" s="131"/>
      <c r="K53" s="131"/>
      <c r="L53" s="131"/>
      <c r="M53" s="30"/>
      <c r="N53" s="16"/>
    </row>
    <row r="54" spans="1:14" x14ac:dyDescent="0.3">
      <c r="A54" s="106"/>
      <c r="B54" s="107"/>
      <c r="C54" s="107"/>
      <c r="D54" s="114"/>
      <c r="F54" s="103"/>
      <c r="G54" s="104"/>
      <c r="H54" s="109"/>
      <c r="I54" s="131"/>
      <c r="J54" s="131"/>
      <c r="K54" s="131"/>
      <c r="L54" s="131"/>
      <c r="M54" s="30"/>
      <c r="N54" s="16"/>
    </row>
    <row r="55" spans="1:14" x14ac:dyDescent="0.3">
      <c r="A55" s="106"/>
      <c r="B55" s="107"/>
      <c r="C55" s="107"/>
      <c r="D55" s="113"/>
      <c r="F55" s="103"/>
      <c r="G55" s="104"/>
      <c r="H55" s="109"/>
      <c r="I55" s="131"/>
      <c r="J55" s="131"/>
      <c r="K55" s="131"/>
      <c r="L55" s="131"/>
      <c r="M55" s="30"/>
      <c r="N55" s="16"/>
    </row>
    <row r="56" spans="1:14" x14ac:dyDescent="0.3">
      <c r="A56" s="106"/>
      <c r="B56" s="107"/>
      <c r="C56" s="107"/>
      <c r="D56" s="114"/>
      <c r="F56" s="103"/>
      <c r="G56" s="104"/>
      <c r="H56" s="109"/>
      <c r="I56" s="131"/>
      <c r="J56" s="131"/>
      <c r="K56" s="131"/>
      <c r="L56" s="131"/>
      <c r="M56" s="30"/>
      <c r="N56" s="16"/>
    </row>
    <row r="57" spans="1:14" x14ac:dyDescent="0.3">
      <c r="A57" s="106"/>
      <c r="B57" s="107"/>
      <c r="C57" s="107"/>
      <c r="D57" s="113"/>
      <c r="F57" s="103"/>
      <c r="G57" s="104"/>
      <c r="H57" s="109"/>
      <c r="I57" s="131"/>
      <c r="J57" s="131"/>
      <c r="K57" s="131"/>
      <c r="L57" s="131"/>
      <c r="M57" s="30"/>
      <c r="N57" s="16"/>
    </row>
    <row r="58" spans="1:14" x14ac:dyDescent="0.3">
      <c r="A58" s="106"/>
      <c r="B58" s="107"/>
      <c r="C58" s="107"/>
      <c r="D58" s="114"/>
      <c r="F58" s="103"/>
      <c r="G58" s="104"/>
      <c r="H58" s="109"/>
      <c r="I58" s="131"/>
      <c r="J58" s="131"/>
      <c r="K58" s="131"/>
      <c r="L58" s="131"/>
      <c r="M58" s="30"/>
      <c r="N58" s="16"/>
    </row>
    <row r="59" spans="1:14" x14ac:dyDescent="0.3">
      <c r="A59" s="106"/>
      <c r="B59" s="107"/>
      <c r="C59" s="107"/>
      <c r="D59" s="113"/>
      <c r="F59" s="103"/>
      <c r="G59" s="104"/>
      <c r="H59" s="109"/>
      <c r="I59" s="131"/>
      <c r="J59" s="190"/>
      <c r="K59" s="190"/>
      <c r="L59" s="131"/>
      <c r="M59" s="30"/>
      <c r="N59" s="16"/>
    </row>
    <row r="60" spans="1:14" x14ac:dyDescent="0.3">
      <c r="A60" s="106"/>
      <c r="B60" s="107"/>
      <c r="C60" s="107"/>
      <c r="D60" s="114"/>
      <c r="F60" s="103"/>
      <c r="G60" s="104"/>
      <c r="H60" s="109"/>
      <c r="I60" s="189"/>
      <c r="J60" s="189"/>
      <c r="K60" s="189"/>
      <c r="L60" s="189"/>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78" t="s">
        <v>56</v>
      </c>
      <c r="B65" s="179"/>
      <c r="C65" s="179"/>
      <c r="D65" s="96">
        <f>SUM(Pest_86[Amount])</f>
        <v>0</v>
      </c>
      <c r="F65" s="173" t="s">
        <v>33</v>
      </c>
      <c r="G65" s="174"/>
      <c r="H65" s="174"/>
    </row>
    <row r="66" spans="1:8" x14ac:dyDescent="0.3">
      <c r="F66" s="173"/>
      <c r="G66" s="174"/>
      <c r="H66" s="174"/>
    </row>
    <row r="67" spans="1:8" ht="17.399999999999999" x14ac:dyDescent="0.3">
      <c r="A67" s="198" t="s">
        <v>69</v>
      </c>
      <c r="B67" s="198"/>
      <c r="C67" s="198"/>
      <c r="D67" s="198"/>
      <c r="E67" s="17"/>
      <c r="F67" s="183" t="s">
        <v>57</v>
      </c>
      <c r="G67" s="184"/>
      <c r="H67" s="185"/>
    </row>
    <row r="68" spans="1:8" x14ac:dyDescent="0.3">
      <c r="A68" s="21" t="s">
        <v>21</v>
      </c>
      <c r="B68" s="22" t="s">
        <v>22</v>
      </c>
      <c r="C68" s="22" t="s">
        <v>23</v>
      </c>
      <c r="D68" s="23" t="s">
        <v>25</v>
      </c>
      <c r="E68" s="24"/>
      <c r="F68" s="186"/>
      <c r="G68" s="187"/>
      <c r="H68" s="188"/>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78" t="s">
        <v>58</v>
      </c>
      <c r="B84" s="179"/>
      <c r="C84" s="179"/>
      <c r="D84" s="96">
        <f>SUM(Garbage_86[Amount])</f>
        <v>0</v>
      </c>
      <c r="E84" s="34"/>
      <c r="F84" s="173" t="s">
        <v>33</v>
      </c>
      <c r="G84" s="174"/>
      <c r="H84" s="174"/>
    </row>
    <row r="85" spans="1:8" x14ac:dyDescent="0.3">
      <c r="A85" s="38"/>
      <c r="B85" s="38"/>
      <c r="C85" s="38"/>
      <c r="D85" s="39"/>
      <c r="E85" s="40"/>
      <c r="F85" s="173"/>
      <c r="G85" s="174"/>
      <c r="H85" s="174"/>
    </row>
    <row r="86" spans="1:8" ht="17.399999999999999" x14ac:dyDescent="0.3">
      <c r="A86" s="191" t="s">
        <v>59</v>
      </c>
      <c r="B86" s="192"/>
      <c r="C86" s="192"/>
      <c r="D86" s="193"/>
      <c r="E86" s="17"/>
      <c r="F86" s="183" t="s">
        <v>60</v>
      </c>
      <c r="G86" s="184"/>
      <c r="H86" s="185"/>
    </row>
    <row r="87" spans="1:8" x14ac:dyDescent="0.3">
      <c r="A87" s="21" t="s">
        <v>21</v>
      </c>
      <c r="B87" s="22" t="s">
        <v>22</v>
      </c>
      <c r="C87" s="22" t="s">
        <v>23</v>
      </c>
      <c r="D87" s="23" t="s">
        <v>25</v>
      </c>
      <c r="E87" s="41"/>
      <c r="F87" s="186"/>
      <c r="G87" s="187"/>
      <c r="H87" s="188"/>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78" t="s">
        <v>61</v>
      </c>
      <c r="B103" s="179"/>
      <c r="C103" s="179"/>
      <c r="D103" s="96">
        <f>SUM(Boarding_86[Amount])</f>
        <v>0</v>
      </c>
      <c r="E103" s="34"/>
      <c r="F103" s="173" t="s">
        <v>33</v>
      </c>
      <c r="G103" s="174"/>
      <c r="H103" s="174"/>
    </row>
    <row r="104" spans="1:8" x14ac:dyDescent="0.3">
      <c r="A104" s="38"/>
      <c r="B104" s="38"/>
      <c r="C104" s="38"/>
      <c r="D104" s="39"/>
      <c r="E104" s="40"/>
      <c r="F104" s="173"/>
      <c r="G104" s="174"/>
      <c r="H104" s="174"/>
    </row>
    <row r="105" spans="1:8" ht="17.399999999999999" x14ac:dyDescent="0.3">
      <c r="A105" s="191" t="s">
        <v>70</v>
      </c>
      <c r="B105" s="192"/>
      <c r="C105" s="192"/>
      <c r="D105" s="193"/>
      <c r="E105" s="17"/>
      <c r="F105" s="183" t="s">
        <v>62</v>
      </c>
      <c r="G105" s="184"/>
      <c r="H105" s="185"/>
    </row>
    <row r="106" spans="1:8" x14ac:dyDescent="0.3">
      <c r="A106" s="21" t="s">
        <v>21</v>
      </c>
      <c r="B106" s="22" t="s">
        <v>22</v>
      </c>
      <c r="C106" s="22" t="s">
        <v>23</v>
      </c>
      <c r="D106" s="23" t="s">
        <v>25</v>
      </c>
      <c r="E106" s="41"/>
      <c r="F106" s="186"/>
      <c r="G106" s="187"/>
      <c r="H106" s="188"/>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78" t="s">
        <v>63</v>
      </c>
      <c r="B122" s="179"/>
      <c r="C122" s="179"/>
      <c r="D122" s="96">
        <f>SUM(Fence_86[Amount])</f>
        <v>0</v>
      </c>
      <c r="E122" s="34"/>
      <c r="F122" s="173" t="s">
        <v>33</v>
      </c>
      <c r="G122" s="174"/>
      <c r="H122" s="174"/>
    </row>
    <row r="123" spans="1:8" x14ac:dyDescent="0.3">
      <c r="F123" s="173"/>
      <c r="G123" s="174"/>
      <c r="H123" s="174"/>
    </row>
    <row r="124" spans="1:8" ht="17.399999999999999" x14ac:dyDescent="0.3">
      <c r="A124" s="191" t="s">
        <v>26</v>
      </c>
      <c r="B124" s="192"/>
      <c r="C124" s="192"/>
      <c r="D124" s="193"/>
      <c r="E124" s="17"/>
      <c r="F124" s="183" t="s">
        <v>11</v>
      </c>
      <c r="G124" s="184"/>
      <c r="H124" s="185"/>
    </row>
    <row r="125" spans="1:8" x14ac:dyDescent="0.3">
      <c r="A125" s="21" t="s">
        <v>21</v>
      </c>
      <c r="B125" s="22" t="s">
        <v>22</v>
      </c>
      <c r="C125" s="22" t="s">
        <v>23</v>
      </c>
      <c r="D125" s="23" t="s">
        <v>25</v>
      </c>
      <c r="E125" s="41"/>
      <c r="F125" s="186"/>
      <c r="G125" s="187"/>
      <c r="H125" s="188"/>
    </row>
    <row r="126" spans="1:8" x14ac:dyDescent="0.3">
      <c r="A126" s="100"/>
      <c r="B126" s="101"/>
      <c r="C126" s="101"/>
      <c r="D126" s="112">
        <v>16210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78" t="s">
        <v>27</v>
      </c>
      <c r="B141" s="179"/>
      <c r="C141" s="179"/>
      <c r="D141" s="96">
        <f>SUM(Demolition_86[Amount])</f>
        <v>16210</v>
      </c>
      <c r="E141" s="34"/>
      <c r="F141" s="173" t="s">
        <v>33</v>
      </c>
      <c r="G141" s="174"/>
      <c r="H141" s="174"/>
    </row>
    <row r="142" spans="1:8" x14ac:dyDescent="0.3">
      <c r="A142" s="38"/>
      <c r="B142" s="38"/>
      <c r="C142" s="38"/>
      <c r="D142" s="39"/>
      <c r="E142" s="40"/>
      <c r="F142" s="173"/>
      <c r="G142" s="174"/>
      <c r="H142" s="174"/>
    </row>
    <row r="143" spans="1:8" ht="17.399999999999999" x14ac:dyDescent="0.3">
      <c r="A143" s="191" t="s">
        <v>64</v>
      </c>
      <c r="B143" s="192"/>
      <c r="C143" s="192"/>
      <c r="D143" s="193"/>
      <c r="E143" s="17"/>
      <c r="F143" s="183" t="s">
        <v>44</v>
      </c>
      <c r="G143" s="184"/>
      <c r="H143" s="185"/>
    </row>
    <row r="144" spans="1:8" x14ac:dyDescent="0.3">
      <c r="A144" s="21" t="s">
        <v>21</v>
      </c>
      <c r="B144" s="22" t="s">
        <v>22</v>
      </c>
      <c r="C144" s="22" t="s">
        <v>23</v>
      </c>
      <c r="D144" s="23" t="s">
        <v>25</v>
      </c>
      <c r="E144" s="41"/>
      <c r="F144" s="186"/>
      <c r="G144" s="187"/>
      <c r="H144" s="188"/>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78" t="s">
        <v>65</v>
      </c>
      <c r="B160" s="179"/>
      <c r="C160" s="179"/>
      <c r="D160" s="96">
        <f>SUM(Rehab_86[Amount])</f>
        <v>0</v>
      </c>
      <c r="E160" s="34"/>
      <c r="F160" s="173" t="s">
        <v>33</v>
      </c>
      <c r="G160" s="174"/>
      <c r="H160" s="174"/>
    </row>
    <row r="161" spans="6:8" x14ac:dyDescent="0.3">
      <c r="F161" s="173"/>
      <c r="G161" s="174"/>
      <c r="H161" s="174"/>
    </row>
  </sheetData>
  <sheetProtection algorithmName="SHA-512" hashValue="SADsncgX0n4OvcSpnCbo3F8wWzJAQxNbEaXYiiiDmzNeGUby2qUXNJdPfxZCCUL4lCgnWwW54EM2qTbFmMTfRA==" saltValue="31+kIqdwpn6bQJHVWtMszw=="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61"/>
  <sheetViews>
    <sheetView showGridLines="0" zoomScaleNormal="100" workbookViewId="0">
      <pane ySplit="9" topLeftCell="A124"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5" t="s">
        <v>24</v>
      </c>
      <c r="B1" s="175"/>
      <c r="C1" s="175"/>
      <c r="D1" s="175"/>
      <c r="E1" s="1"/>
      <c r="F1" s="2"/>
      <c r="G1" s="2"/>
      <c r="H1" s="1"/>
    </row>
    <row r="2" spans="1:14" ht="24.9" customHeight="1" x14ac:dyDescent="0.3">
      <c r="A2" s="176" t="s">
        <v>71</v>
      </c>
      <c r="B2" s="176"/>
      <c r="C2" s="176"/>
      <c r="D2" s="176"/>
      <c r="E2" s="4"/>
      <c r="F2" s="130"/>
      <c r="G2" s="130"/>
      <c r="H2" s="5"/>
    </row>
    <row r="3" spans="1:14" ht="31.5" customHeight="1" x14ac:dyDescent="0.3">
      <c r="A3" s="176"/>
      <c r="B3" s="176"/>
      <c r="C3" s="176"/>
      <c r="D3" s="176"/>
      <c r="E3" s="4"/>
      <c r="F3" s="130"/>
      <c r="G3" s="130"/>
      <c r="H3" s="5"/>
    </row>
    <row r="4" spans="1:14" ht="15" customHeight="1" x14ac:dyDescent="0.25">
      <c r="A4" s="75" t="s">
        <v>19</v>
      </c>
      <c r="B4" s="194" t="str">
        <f>IF('Summary Sheet'!B119="","",'Summary Sheet'!B119)</f>
        <v>34 E 123RD ST</v>
      </c>
      <c r="C4" s="194"/>
      <c r="D4" s="130"/>
      <c r="E4" s="4"/>
      <c r="F4" s="130"/>
      <c r="G4" s="130"/>
      <c r="H4" s="5"/>
    </row>
    <row r="5" spans="1:14" ht="15" customHeight="1" x14ac:dyDescent="0.25">
      <c r="A5" s="75" t="s">
        <v>20</v>
      </c>
      <c r="B5" s="195" t="str">
        <f>IF('Summary Sheet'!C119="","",'Summary Sheet'!C119)</f>
        <v/>
      </c>
      <c r="C5" s="195"/>
      <c r="D5" s="130"/>
      <c r="E5" s="4"/>
      <c r="F5" s="130"/>
      <c r="G5" s="130"/>
      <c r="H5" s="5"/>
    </row>
    <row r="6" spans="1:14" ht="15" customHeight="1" x14ac:dyDescent="0.25">
      <c r="A6" s="75" t="s">
        <v>36</v>
      </c>
      <c r="B6" s="177"/>
      <c r="C6" s="177"/>
      <c r="D6" s="6"/>
      <c r="E6" s="7"/>
    </row>
    <row r="7" spans="1:14" ht="15" customHeight="1" x14ac:dyDescent="0.25">
      <c r="A7" s="7"/>
      <c r="B7" s="196" t="s">
        <v>34</v>
      </c>
      <c r="C7" s="196"/>
      <c r="D7" s="10"/>
    </row>
    <row r="8" spans="1:14" ht="20.100000000000001" customHeight="1" x14ac:dyDescent="0.25">
      <c r="B8" s="11"/>
      <c r="C8" s="11"/>
      <c r="D8" s="12" t="s">
        <v>31</v>
      </c>
      <c r="F8" s="180" t="s">
        <v>32</v>
      </c>
      <c r="G8" s="181"/>
      <c r="H8" s="182"/>
    </row>
    <row r="9" spans="1:14" s="14" customFormat="1" ht="20.100000000000001" customHeight="1" x14ac:dyDescent="0.25">
      <c r="A9" s="197"/>
      <c r="B9" s="197"/>
      <c r="C9" s="197"/>
      <c r="D9" s="13">
        <f>SUM(D27,D46,D65,D84,D103,D122,D141,D160)</f>
        <v>28510</v>
      </c>
      <c r="F9" s="15" t="s">
        <v>28</v>
      </c>
      <c r="G9" s="15" t="s">
        <v>29</v>
      </c>
      <c r="H9" s="15" t="s">
        <v>30</v>
      </c>
      <c r="I9" s="16"/>
      <c r="J9" s="16"/>
      <c r="K9" s="16"/>
      <c r="L9" s="16"/>
      <c r="M9" s="16"/>
      <c r="N9" s="16"/>
    </row>
    <row r="10" spans="1:14" s="17" customFormat="1" ht="23.1" customHeight="1" x14ac:dyDescent="0.3">
      <c r="A10" s="198" t="s">
        <v>51</v>
      </c>
      <c r="B10" s="198"/>
      <c r="C10" s="198"/>
      <c r="D10" s="198"/>
      <c r="F10" s="183" t="s">
        <v>66</v>
      </c>
      <c r="G10" s="184"/>
      <c r="H10" s="185"/>
      <c r="I10" s="18"/>
      <c r="J10" s="18"/>
      <c r="K10" s="18"/>
      <c r="L10" s="18"/>
      <c r="M10" s="19"/>
      <c r="N10" s="20"/>
    </row>
    <row r="11" spans="1:14" s="24" customFormat="1" ht="12.75" customHeight="1" x14ac:dyDescent="0.25">
      <c r="A11" s="21" t="s">
        <v>21</v>
      </c>
      <c r="B11" s="22" t="s">
        <v>22</v>
      </c>
      <c r="C11" s="22" t="s">
        <v>23</v>
      </c>
      <c r="D11" s="23" t="s">
        <v>25</v>
      </c>
      <c r="F11" s="186"/>
      <c r="G11" s="187"/>
      <c r="H11" s="188"/>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78" t="s">
        <v>53</v>
      </c>
      <c r="B27" s="179"/>
      <c r="C27" s="179"/>
      <c r="D27" s="96">
        <f>SUM(Grass_87[Amount])</f>
        <v>0</v>
      </c>
      <c r="F27" s="173" t="s">
        <v>33</v>
      </c>
      <c r="G27" s="174"/>
      <c r="H27" s="174"/>
      <c r="I27" s="35"/>
      <c r="J27" s="35"/>
      <c r="K27" s="35"/>
      <c r="L27" s="35"/>
      <c r="M27" s="36"/>
      <c r="N27" s="37"/>
    </row>
    <row r="28" spans="1:14" s="40" customFormat="1" ht="11.1" customHeight="1" x14ac:dyDescent="0.3">
      <c r="A28" s="38"/>
      <c r="B28" s="38"/>
      <c r="C28" s="38"/>
      <c r="D28" s="39"/>
      <c r="F28" s="173"/>
      <c r="G28" s="174"/>
      <c r="H28" s="174"/>
      <c r="I28" s="35"/>
      <c r="J28" s="35"/>
      <c r="K28" s="35"/>
      <c r="L28" s="35"/>
      <c r="M28" s="36"/>
      <c r="N28" s="37"/>
    </row>
    <row r="29" spans="1:14" s="17" customFormat="1" ht="23.1" customHeight="1" x14ac:dyDescent="0.3">
      <c r="A29" s="191" t="s">
        <v>67</v>
      </c>
      <c r="B29" s="192"/>
      <c r="C29" s="192"/>
      <c r="D29" s="193"/>
      <c r="F29" s="183" t="s">
        <v>52</v>
      </c>
      <c r="G29" s="184"/>
      <c r="H29" s="185"/>
      <c r="I29" s="18"/>
      <c r="J29" s="18"/>
      <c r="K29" s="18"/>
      <c r="L29" s="18"/>
      <c r="M29" s="19"/>
      <c r="N29" s="20"/>
    </row>
    <row r="30" spans="1:14" s="41" customFormat="1" ht="12.75" customHeight="1" x14ac:dyDescent="0.25">
      <c r="A30" s="21" t="s">
        <v>21</v>
      </c>
      <c r="B30" s="22" t="s">
        <v>22</v>
      </c>
      <c r="C30" s="22" t="s">
        <v>23</v>
      </c>
      <c r="D30" s="23" t="s">
        <v>25</v>
      </c>
      <c r="F30" s="186"/>
      <c r="G30" s="187"/>
      <c r="H30" s="188"/>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31"/>
      <c r="J44" s="29"/>
      <c r="K44" s="29"/>
      <c r="L44" s="131"/>
      <c r="M44" s="30"/>
      <c r="N44" s="16"/>
    </row>
    <row r="45" spans="1:14" x14ac:dyDescent="0.3">
      <c r="A45" s="106"/>
      <c r="B45" s="107"/>
      <c r="C45" s="107"/>
      <c r="D45" s="114"/>
      <c r="F45" s="103"/>
      <c r="G45" s="104"/>
      <c r="H45" s="109"/>
      <c r="I45" s="131"/>
      <c r="J45" s="29"/>
      <c r="K45" s="29"/>
      <c r="L45" s="131"/>
      <c r="M45" s="30"/>
      <c r="N45" s="16"/>
    </row>
    <row r="46" spans="1:14" s="34" customFormat="1" x14ac:dyDescent="0.3">
      <c r="A46" s="178" t="s">
        <v>54</v>
      </c>
      <c r="B46" s="179"/>
      <c r="C46" s="179"/>
      <c r="D46" s="96">
        <f>SUM(Tree_87[Amount])</f>
        <v>0</v>
      </c>
      <c r="F46" s="173" t="s">
        <v>33</v>
      </c>
      <c r="G46" s="174"/>
      <c r="H46" s="174"/>
      <c r="I46" s="43"/>
      <c r="J46" s="43"/>
      <c r="K46" s="43"/>
      <c r="L46" s="43"/>
      <c r="M46" s="36"/>
      <c r="N46" s="37"/>
    </row>
    <row r="47" spans="1:14" s="40" customFormat="1" ht="11.1" customHeight="1" x14ac:dyDescent="0.3">
      <c r="A47" s="38"/>
      <c r="B47" s="38"/>
      <c r="C47" s="38"/>
      <c r="D47" s="39"/>
      <c r="F47" s="173"/>
      <c r="G47" s="174"/>
      <c r="H47" s="174"/>
      <c r="I47" s="43"/>
      <c r="J47" s="43"/>
      <c r="K47" s="43"/>
      <c r="L47" s="43"/>
      <c r="M47" s="36"/>
      <c r="N47" s="37"/>
    </row>
    <row r="48" spans="1:14" s="17" customFormat="1" ht="23.1" customHeight="1" x14ac:dyDescent="0.3">
      <c r="A48" s="191" t="s">
        <v>68</v>
      </c>
      <c r="B48" s="192"/>
      <c r="C48" s="192"/>
      <c r="D48" s="193"/>
      <c r="F48" s="183" t="s">
        <v>55</v>
      </c>
      <c r="G48" s="184"/>
      <c r="H48" s="185"/>
      <c r="I48" s="44"/>
      <c r="J48" s="44"/>
      <c r="K48" s="44"/>
      <c r="L48" s="44"/>
      <c r="M48" s="19"/>
      <c r="N48" s="20"/>
    </row>
    <row r="49" spans="1:14" s="41" customFormat="1" ht="12.75" customHeight="1" x14ac:dyDescent="0.25">
      <c r="A49" s="21" t="s">
        <v>21</v>
      </c>
      <c r="B49" s="22" t="s">
        <v>22</v>
      </c>
      <c r="C49" s="22" t="s">
        <v>23</v>
      </c>
      <c r="D49" s="23" t="s">
        <v>25</v>
      </c>
      <c r="F49" s="186"/>
      <c r="G49" s="187"/>
      <c r="H49" s="188"/>
      <c r="I49" s="131"/>
      <c r="J49" s="131"/>
      <c r="K49" s="131"/>
      <c r="L49" s="131"/>
      <c r="M49" s="30"/>
      <c r="N49" s="42"/>
    </row>
    <row r="50" spans="1:14" x14ac:dyDescent="0.3">
      <c r="A50" s="100"/>
      <c r="B50" s="101"/>
      <c r="C50" s="101"/>
      <c r="D50" s="112"/>
      <c r="F50" s="103"/>
      <c r="G50" s="104"/>
      <c r="H50" s="109"/>
      <c r="I50" s="131"/>
      <c r="J50" s="131"/>
      <c r="K50" s="131"/>
      <c r="L50" s="131"/>
      <c r="M50" s="30"/>
      <c r="N50" s="16"/>
    </row>
    <row r="51" spans="1:14" x14ac:dyDescent="0.3">
      <c r="A51" s="106"/>
      <c r="B51" s="107"/>
      <c r="C51" s="107"/>
      <c r="D51" s="113"/>
      <c r="F51" s="103"/>
      <c r="G51" s="104"/>
      <c r="H51" s="109"/>
      <c r="I51" s="131"/>
      <c r="J51" s="131"/>
      <c r="K51" s="131"/>
      <c r="L51" s="131"/>
      <c r="M51" s="30"/>
      <c r="N51" s="16"/>
    </row>
    <row r="52" spans="1:14" x14ac:dyDescent="0.3">
      <c r="A52" s="106"/>
      <c r="B52" s="107"/>
      <c r="C52" s="107"/>
      <c r="D52" s="114"/>
      <c r="F52" s="103"/>
      <c r="H52" s="109"/>
      <c r="I52" s="131"/>
      <c r="J52" s="131"/>
      <c r="K52" s="131"/>
      <c r="L52" s="131"/>
      <c r="M52" s="30"/>
      <c r="N52" s="16"/>
    </row>
    <row r="53" spans="1:14" x14ac:dyDescent="0.3">
      <c r="A53" s="106"/>
      <c r="B53" s="107"/>
      <c r="C53" s="107"/>
      <c r="D53" s="113"/>
      <c r="F53" s="103"/>
      <c r="G53" s="104"/>
      <c r="H53" s="109"/>
      <c r="I53" s="131"/>
      <c r="J53" s="131"/>
      <c r="K53" s="131"/>
      <c r="L53" s="131"/>
      <c r="M53" s="30"/>
      <c r="N53" s="16"/>
    </row>
    <row r="54" spans="1:14" x14ac:dyDescent="0.3">
      <c r="A54" s="106"/>
      <c r="B54" s="107"/>
      <c r="C54" s="107"/>
      <c r="D54" s="114"/>
      <c r="F54" s="103"/>
      <c r="G54" s="104"/>
      <c r="H54" s="109"/>
      <c r="I54" s="131"/>
      <c r="J54" s="131"/>
      <c r="K54" s="131"/>
      <c r="L54" s="131"/>
      <c r="M54" s="30"/>
      <c r="N54" s="16"/>
    </row>
    <row r="55" spans="1:14" x14ac:dyDescent="0.3">
      <c r="A55" s="106"/>
      <c r="B55" s="107"/>
      <c r="C55" s="107"/>
      <c r="D55" s="113"/>
      <c r="F55" s="103"/>
      <c r="G55" s="104"/>
      <c r="H55" s="109"/>
      <c r="I55" s="131"/>
      <c r="J55" s="131"/>
      <c r="K55" s="131"/>
      <c r="L55" s="131"/>
      <c r="M55" s="30"/>
      <c r="N55" s="16"/>
    </row>
    <row r="56" spans="1:14" x14ac:dyDescent="0.3">
      <c r="A56" s="106"/>
      <c r="B56" s="107"/>
      <c r="C56" s="107"/>
      <c r="D56" s="114"/>
      <c r="F56" s="103"/>
      <c r="G56" s="104"/>
      <c r="H56" s="109"/>
      <c r="I56" s="131"/>
      <c r="J56" s="131"/>
      <c r="K56" s="131"/>
      <c r="L56" s="131"/>
      <c r="M56" s="30"/>
      <c r="N56" s="16"/>
    </row>
    <row r="57" spans="1:14" x14ac:dyDescent="0.3">
      <c r="A57" s="106"/>
      <c r="B57" s="107"/>
      <c r="C57" s="107"/>
      <c r="D57" s="113"/>
      <c r="F57" s="103"/>
      <c r="G57" s="104"/>
      <c r="H57" s="109"/>
      <c r="I57" s="131"/>
      <c r="J57" s="131"/>
      <c r="K57" s="131"/>
      <c r="L57" s="131"/>
      <c r="M57" s="30"/>
      <c r="N57" s="16"/>
    </row>
    <row r="58" spans="1:14" x14ac:dyDescent="0.3">
      <c r="A58" s="106"/>
      <c r="B58" s="107"/>
      <c r="C58" s="107"/>
      <c r="D58" s="114"/>
      <c r="F58" s="103"/>
      <c r="G58" s="104"/>
      <c r="H58" s="109"/>
      <c r="I58" s="131"/>
      <c r="J58" s="131"/>
      <c r="K58" s="131"/>
      <c r="L58" s="131"/>
      <c r="M58" s="30"/>
      <c r="N58" s="16"/>
    </row>
    <row r="59" spans="1:14" x14ac:dyDescent="0.3">
      <c r="A59" s="106"/>
      <c r="B59" s="107"/>
      <c r="C59" s="107"/>
      <c r="D59" s="113"/>
      <c r="F59" s="103"/>
      <c r="G59" s="104"/>
      <c r="H59" s="109"/>
      <c r="I59" s="131"/>
      <c r="J59" s="190"/>
      <c r="K59" s="190"/>
      <c r="L59" s="131"/>
      <c r="M59" s="30"/>
      <c r="N59" s="16"/>
    </row>
    <row r="60" spans="1:14" x14ac:dyDescent="0.3">
      <c r="A60" s="106"/>
      <c r="B60" s="107"/>
      <c r="C60" s="107"/>
      <c r="D60" s="114"/>
      <c r="F60" s="103"/>
      <c r="G60" s="104"/>
      <c r="H60" s="109"/>
      <c r="I60" s="189"/>
      <c r="J60" s="189"/>
      <c r="K60" s="189"/>
      <c r="L60" s="189"/>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78" t="s">
        <v>56</v>
      </c>
      <c r="B65" s="179"/>
      <c r="C65" s="179"/>
      <c r="D65" s="96">
        <f>SUM(Pest_87[Amount])</f>
        <v>0</v>
      </c>
      <c r="F65" s="173" t="s">
        <v>33</v>
      </c>
      <c r="G65" s="174"/>
      <c r="H65" s="174"/>
    </row>
    <row r="66" spans="1:8" x14ac:dyDescent="0.3">
      <c r="F66" s="173"/>
      <c r="G66" s="174"/>
      <c r="H66" s="174"/>
    </row>
    <row r="67" spans="1:8" ht="17.399999999999999" x14ac:dyDescent="0.3">
      <c r="A67" s="198" t="s">
        <v>69</v>
      </c>
      <c r="B67" s="198"/>
      <c r="C67" s="198"/>
      <c r="D67" s="198"/>
      <c r="E67" s="17"/>
      <c r="F67" s="183" t="s">
        <v>57</v>
      </c>
      <c r="G67" s="184"/>
      <c r="H67" s="185"/>
    </row>
    <row r="68" spans="1:8" x14ac:dyDescent="0.3">
      <c r="A68" s="21" t="s">
        <v>21</v>
      </c>
      <c r="B68" s="22" t="s">
        <v>22</v>
      </c>
      <c r="C68" s="22" t="s">
        <v>23</v>
      </c>
      <c r="D68" s="23" t="s">
        <v>25</v>
      </c>
      <c r="E68" s="24"/>
      <c r="F68" s="186"/>
      <c r="G68" s="187"/>
      <c r="H68" s="188"/>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78" t="s">
        <v>58</v>
      </c>
      <c r="B84" s="179"/>
      <c r="C84" s="179"/>
      <c r="D84" s="96">
        <f>SUM(Garbage_87[Amount])</f>
        <v>0</v>
      </c>
      <c r="E84" s="34"/>
      <c r="F84" s="173" t="s">
        <v>33</v>
      </c>
      <c r="G84" s="174"/>
      <c r="H84" s="174"/>
    </row>
    <row r="85" spans="1:8" x14ac:dyDescent="0.3">
      <c r="A85" s="38"/>
      <c r="B85" s="38"/>
      <c r="C85" s="38"/>
      <c r="D85" s="39"/>
      <c r="E85" s="40"/>
      <c r="F85" s="173"/>
      <c r="G85" s="174"/>
      <c r="H85" s="174"/>
    </row>
    <row r="86" spans="1:8" ht="17.399999999999999" x14ac:dyDescent="0.3">
      <c r="A86" s="191" t="s">
        <v>59</v>
      </c>
      <c r="B86" s="192"/>
      <c r="C86" s="192"/>
      <c r="D86" s="193"/>
      <c r="E86" s="17"/>
      <c r="F86" s="183" t="s">
        <v>60</v>
      </c>
      <c r="G86" s="184"/>
      <c r="H86" s="185"/>
    </row>
    <row r="87" spans="1:8" x14ac:dyDescent="0.3">
      <c r="A87" s="21" t="s">
        <v>21</v>
      </c>
      <c r="B87" s="22" t="s">
        <v>22</v>
      </c>
      <c r="C87" s="22" t="s">
        <v>23</v>
      </c>
      <c r="D87" s="23" t="s">
        <v>25</v>
      </c>
      <c r="E87" s="41"/>
      <c r="F87" s="186"/>
      <c r="G87" s="187"/>
      <c r="H87" s="188"/>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78" t="s">
        <v>61</v>
      </c>
      <c r="B103" s="179"/>
      <c r="C103" s="179"/>
      <c r="D103" s="96">
        <f>SUM(Boarding_87[Amount])</f>
        <v>0</v>
      </c>
      <c r="E103" s="34"/>
      <c r="F103" s="173" t="s">
        <v>33</v>
      </c>
      <c r="G103" s="174"/>
      <c r="H103" s="174"/>
    </row>
    <row r="104" spans="1:8" x14ac:dyDescent="0.3">
      <c r="A104" s="38"/>
      <c r="B104" s="38"/>
      <c r="C104" s="38"/>
      <c r="D104" s="39"/>
      <c r="E104" s="40"/>
      <c r="F104" s="173"/>
      <c r="G104" s="174"/>
      <c r="H104" s="174"/>
    </row>
    <row r="105" spans="1:8" ht="17.399999999999999" x14ac:dyDescent="0.3">
      <c r="A105" s="191" t="s">
        <v>70</v>
      </c>
      <c r="B105" s="192"/>
      <c r="C105" s="192"/>
      <c r="D105" s="193"/>
      <c r="E105" s="17"/>
      <c r="F105" s="183" t="s">
        <v>62</v>
      </c>
      <c r="G105" s="184"/>
      <c r="H105" s="185"/>
    </row>
    <row r="106" spans="1:8" x14ac:dyDescent="0.3">
      <c r="A106" s="21" t="s">
        <v>21</v>
      </c>
      <c r="B106" s="22" t="s">
        <v>22</v>
      </c>
      <c r="C106" s="22" t="s">
        <v>23</v>
      </c>
      <c r="D106" s="23" t="s">
        <v>25</v>
      </c>
      <c r="E106" s="41"/>
      <c r="F106" s="186"/>
      <c r="G106" s="187"/>
      <c r="H106" s="188"/>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78" t="s">
        <v>63</v>
      </c>
      <c r="B122" s="179"/>
      <c r="C122" s="179"/>
      <c r="D122" s="96">
        <f>SUM(Fence_87[Amount])</f>
        <v>0</v>
      </c>
      <c r="E122" s="34"/>
      <c r="F122" s="173" t="s">
        <v>33</v>
      </c>
      <c r="G122" s="174"/>
      <c r="H122" s="174"/>
    </row>
    <row r="123" spans="1:8" x14ac:dyDescent="0.3">
      <c r="F123" s="173"/>
      <c r="G123" s="174"/>
      <c r="H123" s="174"/>
    </row>
    <row r="124" spans="1:8" ht="17.399999999999999" x14ac:dyDescent="0.3">
      <c r="A124" s="191" t="s">
        <v>26</v>
      </c>
      <c r="B124" s="192"/>
      <c r="C124" s="192"/>
      <c r="D124" s="193"/>
      <c r="E124" s="17"/>
      <c r="F124" s="183" t="s">
        <v>11</v>
      </c>
      <c r="G124" s="184"/>
      <c r="H124" s="185"/>
    </row>
    <row r="125" spans="1:8" x14ac:dyDescent="0.3">
      <c r="A125" s="21" t="s">
        <v>21</v>
      </c>
      <c r="B125" s="22" t="s">
        <v>22</v>
      </c>
      <c r="C125" s="22" t="s">
        <v>23</v>
      </c>
      <c r="D125" s="23" t="s">
        <v>25</v>
      </c>
      <c r="E125" s="41"/>
      <c r="F125" s="186"/>
      <c r="G125" s="187"/>
      <c r="H125" s="188"/>
    </row>
    <row r="126" spans="1:8" x14ac:dyDescent="0.3">
      <c r="A126" s="100"/>
      <c r="B126" s="101"/>
      <c r="C126" s="101"/>
      <c r="D126" s="112">
        <v>28510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78" t="s">
        <v>27</v>
      </c>
      <c r="B141" s="179"/>
      <c r="C141" s="179"/>
      <c r="D141" s="96">
        <f>SUM(Demolition_87[Amount])</f>
        <v>28510</v>
      </c>
      <c r="E141" s="34"/>
      <c r="F141" s="173" t="s">
        <v>33</v>
      </c>
      <c r="G141" s="174"/>
      <c r="H141" s="174"/>
    </row>
    <row r="142" spans="1:8" x14ac:dyDescent="0.3">
      <c r="A142" s="38"/>
      <c r="B142" s="38"/>
      <c r="C142" s="38"/>
      <c r="D142" s="39"/>
      <c r="E142" s="40"/>
      <c r="F142" s="173"/>
      <c r="G142" s="174"/>
      <c r="H142" s="174"/>
    </row>
    <row r="143" spans="1:8" ht="17.399999999999999" x14ac:dyDescent="0.3">
      <c r="A143" s="191" t="s">
        <v>64</v>
      </c>
      <c r="B143" s="192"/>
      <c r="C143" s="192"/>
      <c r="D143" s="193"/>
      <c r="E143" s="17"/>
      <c r="F143" s="183" t="s">
        <v>44</v>
      </c>
      <c r="G143" s="184"/>
      <c r="H143" s="185"/>
    </row>
    <row r="144" spans="1:8" x14ac:dyDescent="0.3">
      <c r="A144" s="21" t="s">
        <v>21</v>
      </c>
      <c r="B144" s="22" t="s">
        <v>22</v>
      </c>
      <c r="C144" s="22" t="s">
        <v>23</v>
      </c>
      <c r="D144" s="23" t="s">
        <v>25</v>
      </c>
      <c r="E144" s="41"/>
      <c r="F144" s="186"/>
      <c r="G144" s="187"/>
      <c r="H144" s="188"/>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78" t="s">
        <v>65</v>
      </c>
      <c r="B160" s="179"/>
      <c r="C160" s="179"/>
      <c r="D160" s="96">
        <f>SUM(Rehab_87[Amount])</f>
        <v>0</v>
      </c>
      <c r="E160" s="34"/>
      <c r="F160" s="173" t="s">
        <v>33</v>
      </c>
      <c r="G160" s="174"/>
      <c r="H160" s="174"/>
    </row>
    <row r="161" spans="6:8" x14ac:dyDescent="0.3">
      <c r="F161" s="173"/>
      <c r="G161" s="174"/>
      <c r="H161" s="174"/>
    </row>
  </sheetData>
  <sheetProtection algorithmName="SHA-512" hashValue="qdYy2mTMkAGwDN5nmaXTkP9B7XHSu+69YMkpm9WS1o492RLUk/yseBiZPsA8HlrGX5boYo7FWiAvbeI1L4qWuA==" saltValue="nptkltf2+6UapA2VWJ6MpQ=="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61"/>
  <sheetViews>
    <sheetView showGridLines="0" zoomScaleNormal="100" workbookViewId="0">
      <pane ySplit="9" topLeftCell="A110"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5" t="s">
        <v>24</v>
      </c>
      <c r="B1" s="175"/>
      <c r="C1" s="175"/>
      <c r="D1" s="175"/>
      <c r="E1" s="1"/>
      <c r="F1" s="2"/>
      <c r="G1" s="2"/>
      <c r="H1" s="1"/>
    </row>
    <row r="2" spans="1:14" ht="24.9" customHeight="1" x14ac:dyDescent="0.3">
      <c r="A2" s="176" t="s">
        <v>71</v>
      </c>
      <c r="B2" s="176"/>
      <c r="C2" s="176"/>
      <c r="D2" s="176"/>
      <c r="E2" s="4"/>
      <c r="F2" s="130"/>
      <c r="G2" s="130"/>
      <c r="H2" s="5"/>
    </row>
    <row r="3" spans="1:14" ht="31.5" customHeight="1" x14ac:dyDescent="0.3">
      <c r="A3" s="176"/>
      <c r="B3" s="176"/>
      <c r="C3" s="176"/>
      <c r="D3" s="176"/>
      <c r="E3" s="4"/>
      <c r="F3" s="130"/>
      <c r="G3" s="130"/>
      <c r="H3" s="5"/>
    </row>
    <row r="4" spans="1:14" ht="15" customHeight="1" x14ac:dyDescent="0.25">
      <c r="A4" s="75" t="s">
        <v>19</v>
      </c>
      <c r="B4" s="194" t="str">
        <f>IF('Summary Sheet'!B120="","",'Summary Sheet'!B120)</f>
        <v>35 W 111TH PL</v>
      </c>
      <c r="C4" s="194"/>
      <c r="D4" s="130"/>
      <c r="E4" s="4"/>
      <c r="F4" s="130"/>
      <c r="G4" s="130"/>
      <c r="H4" s="5"/>
    </row>
    <row r="5" spans="1:14" ht="15" customHeight="1" x14ac:dyDescent="0.25">
      <c r="A5" s="75" t="s">
        <v>20</v>
      </c>
      <c r="B5" s="195" t="str">
        <f>IF('Summary Sheet'!C120="","",'Summary Sheet'!C120)</f>
        <v/>
      </c>
      <c r="C5" s="195"/>
      <c r="D5" s="130"/>
      <c r="E5" s="4"/>
      <c r="F5" s="130"/>
      <c r="G5" s="130"/>
      <c r="H5" s="5"/>
    </row>
    <row r="6" spans="1:14" ht="15" customHeight="1" x14ac:dyDescent="0.25">
      <c r="A6" s="75" t="s">
        <v>36</v>
      </c>
      <c r="B6" s="177"/>
      <c r="C6" s="177"/>
      <c r="D6" s="6"/>
      <c r="E6" s="7"/>
    </row>
    <row r="7" spans="1:14" ht="15" customHeight="1" x14ac:dyDescent="0.25">
      <c r="A7" s="7"/>
      <c r="B7" s="196" t="s">
        <v>34</v>
      </c>
      <c r="C7" s="196"/>
      <c r="D7" s="10"/>
    </row>
    <row r="8" spans="1:14" ht="20.100000000000001" customHeight="1" x14ac:dyDescent="0.25">
      <c r="B8" s="11"/>
      <c r="C8" s="11"/>
      <c r="D8" s="12" t="s">
        <v>31</v>
      </c>
      <c r="F8" s="180" t="s">
        <v>32</v>
      </c>
      <c r="G8" s="181"/>
      <c r="H8" s="182"/>
    </row>
    <row r="9" spans="1:14" s="14" customFormat="1" ht="20.100000000000001" customHeight="1" x14ac:dyDescent="0.25">
      <c r="A9" s="197"/>
      <c r="B9" s="197"/>
      <c r="C9" s="197"/>
      <c r="D9" s="13">
        <f>SUM(D27,D46,D65,D84,D103,D122,D141,D160)</f>
        <v>18210</v>
      </c>
      <c r="F9" s="15" t="s">
        <v>28</v>
      </c>
      <c r="G9" s="15" t="s">
        <v>29</v>
      </c>
      <c r="H9" s="15" t="s">
        <v>30</v>
      </c>
      <c r="I9" s="16"/>
      <c r="J9" s="16"/>
      <c r="K9" s="16"/>
      <c r="L9" s="16"/>
      <c r="M9" s="16"/>
      <c r="N9" s="16"/>
    </row>
    <row r="10" spans="1:14" s="17" customFormat="1" ht="23.1" customHeight="1" x14ac:dyDescent="0.3">
      <c r="A10" s="198" t="s">
        <v>51</v>
      </c>
      <c r="B10" s="198"/>
      <c r="C10" s="198"/>
      <c r="D10" s="198"/>
      <c r="F10" s="183" t="s">
        <v>66</v>
      </c>
      <c r="G10" s="184"/>
      <c r="H10" s="185"/>
      <c r="I10" s="18"/>
      <c r="J10" s="18"/>
      <c r="K10" s="18"/>
      <c r="L10" s="18"/>
      <c r="M10" s="19"/>
      <c r="N10" s="20"/>
    </row>
    <row r="11" spans="1:14" s="24" customFormat="1" ht="12.75" customHeight="1" x14ac:dyDescent="0.25">
      <c r="A11" s="21" t="s">
        <v>21</v>
      </c>
      <c r="B11" s="22" t="s">
        <v>22</v>
      </c>
      <c r="C11" s="22" t="s">
        <v>23</v>
      </c>
      <c r="D11" s="23" t="s">
        <v>25</v>
      </c>
      <c r="F11" s="186"/>
      <c r="G11" s="187"/>
      <c r="H11" s="188"/>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78" t="s">
        <v>53</v>
      </c>
      <c r="B27" s="179"/>
      <c r="C27" s="179"/>
      <c r="D27" s="96">
        <f>SUM(Grass_88[Amount])</f>
        <v>0</v>
      </c>
      <c r="F27" s="173" t="s">
        <v>33</v>
      </c>
      <c r="G27" s="174"/>
      <c r="H27" s="174"/>
      <c r="I27" s="35"/>
      <c r="J27" s="35"/>
      <c r="K27" s="35"/>
      <c r="L27" s="35"/>
      <c r="M27" s="36"/>
      <c r="N27" s="37"/>
    </row>
    <row r="28" spans="1:14" s="40" customFormat="1" ht="11.1" customHeight="1" x14ac:dyDescent="0.3">
      <c r="A28" s="38"/>
      <c r="B28" s="38"/>
      <c r="C28" s="38"/>
      <c r="D28" s="39"/>
      <c r="F28" s="173"/>
      <c r="G28" s="174"/>
      <c r="H28" s="174"/>
      <c r="I28" s="35"/>
      <c r="J28" s="35"/>
      <c r="K28" s="35"/>
      <c r="L28" s="35"/>
      <c r="M28" s="36"/>
      <c r="N28" s="37"/>
    </row>
    <row r="29" spans="1:14" s="17" customFormat="1" ht="23.1" customHeight="1" x14ac:dyDescent="0.3">
      <c r="A29" s="191" t="s">
        <v>67</v>
      </c>
      <c r="B29" s="192"/>
      <c r="C29" s="192"/>
      <c r="D29" s="193"/>
      <c r="F29" s="183" t="s">
        <v>52</v>
      </c>
      <c r="G29" s="184"/>
      <c r="H29" s="185"/>
      <c r="I29" s="18"/>
      <c r="J29" s="18"/>
      <c r="K29" s="18"/>
      <c r="L29" s="18"/>
      <c r="M29" s="19"/>
      <c r="N29" s="20"/>
    </row>
    <row r="30" spans="1:14" s="41" customFormat="1" ht="12.75" customHeight="1" x14ac:dyDescent="0.25">
      <c r="A30" s="21" t="s">
        <v>21</v>
      </c>
      <c r="B30" s="22" t="s">
        <v>22</v>
      </c>
      <c r="C30" s="22" t="s">
        <v>23</v>
      </c>
      <c r="D30" s="23" t="s">
        <v>25</v>
      </c>
      <c r="F30" s="186"/>
      <c r="G30" s="187"/>
      <c r="H30" s="188"/>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31"/>
      <c r="J44" s="29"/>
      <c r="K44" s="29"/>
      <c r="L44" s="131"/>
      <c r="M44" s="30"/>
      <c r="N44" s="16"/>
    </row>
    <row r="45" spans="1:14" x14ac:dyDescent="0.3">
      <c r="A45" s="106"/>
      <c r="B45" s="107"/>
      <c r="C45" s="107"/>
      <c r="D45" s="114"/>
      <c r="F45" s="103"/>
      <c r="G45" s="104"/>
      <c r="H45" s="109"/>
      <c r="I45" s="131"/>
      <c r="J45" s="29"/>
      <c r="K45" s="29"/>
      <c r="L45" s="131"/>
      <c r="M45" s="30"/>
      <c r="N45" s="16"/>
    </row>
    <row r="46" spans="1:14" s="34" customFormat="1" x14ac:dyDescent="0.3">
      <c r="A46" s="178" t="s">
        <v>54</v>
      </c>
      <c r="B46" s="179"/>
      <c r="C46" s="179"/>
      <c r="D46" s="96">
        <f>SUM(Tree_88[Amount])</f>
        <v>0</v>
      </c>
      <c r="F46" s="173" t="s">
        <v>33</v>
      </c>
      <c r="G46" s="174"/>
      <c r="H46" s="174"/>
      <c r="I46" s="43"/>
      <c r="J46" s="43"/>
      <c r="K46" s="43"/>
      <c r="L46" s="43"/>
      <c r="M46" s="36"/>
      <c r="N46" s="37"/>
    </row>
    <row r="47" spans="1:14" s="40" customFormat="1" ht="11.1" customHeight="1" x14ac:dyDescent="0.3">
      <c r="A47" s="38"/>
      <c r="B47" s="38"/>
      <c r="C47" s="38"/>
      <c r="D47" s="39"/>
      <c r="F47" s="173"/>
      <c r="G47" s="174"/>
      <c r="H47" s="174"/>
      <c r="I47" s="43"/>
      <c r="J47" s="43"/>
      <c r="K47" s="43"/>
      <c r="L47" s="43"/>
      <c r="M47" s="36"/>
      <c r="N47" s="37"/>
    </row>
    <row r="48" spans="1:14" s="17" customFormat="1" ht="23.1" customHeight="1" x14ac:dyDescent="0.3">
      <c r="A48" s="191" t="s">
        <v>68</v>
      </c>
      <c r="B48" s="192"/>
      <c r="C48" s="192"/>
      <c r="D48" s="193"/>
      <c r="F48" s="183" t="s">
        <v>55</v>
      </c>
      <c r="G48" s="184"/>
      <c r="H48" s="185"/>
      <c r="I48" s="44"/>
      <c r="J48" s="44"/>
      <c r="K48" s="44"/>
      <c r="L48" s="44"/>
      <c r="M48" s="19"/>
      <c r="N48" s="20"/>
    </row>
    <row r="49" spans="1:14" s="41" customFormat="1" ht="12.75" customHeight="1" x14ac:dyDescent="0.25">
      <c r="A49" s="21" t="s">
        <v>21</v>
      </c>
      <c r="B49" s="22" t="s">
        <v>22</v>
      </c>
      <c r="C49" s="22" t="s">
        <v>23</v>
      </c>
      <c r="D49" s="23" t="s">
        <v>25</v>
      </c>
      <c r="F49" s="186"/>
      <c r="G49" s="187"/>
      <c r="H49" s="188"/>
      <c r="I49" s="131"/>
      <c r="J49" s="131"/>
      <c r="K49" s="131"/>
      <c r="L49" s="131"/>
      <c r="M49" s="30"/>
      <c r="N49" s="42"/>
    </row>
    <row r="50" spans="1:14" x14ac:dyDescent="0.3">
      <c r="A50" s="100"/>
      <c r="B50" s="101"/>
      <c r="C50" s="101"/>
      <c r="D50" s="112"/>
      <c r="F50" s="103"/>
      <c r="G50" s="104"/>
      <c r="H50" s="109"/>
      <c r="I50" s="131"/>
      <c r="J50" s="131"/>
      <c r="K50" s="131"/>
      <c r="L50" s="131"/>
      <c r="M50" s="30"/>
      <c r="N50" s="16"/>
    </row>
    <row r="51" spans="1:14" x14ac:dyDescent="0.3">
      <c r="A51" s="106"/>
      <c r="B51" s="107"/>
      <c r="C51" s="107"/>
      <c r="D51" s="113"/>
      <c r="F51" s="103"/>
      <c r="G51" s="104"/>
      <c r="H51" s="109"/>
      <c r="I51" s="131"/>
      <c r="J51" s="131"/>
      <c r="K51" s="131"/>
      <c r="L51" s="131"/>
      <c r="M51" s="30"/>
      <c r="N51" s="16"/>
    </row>
    <row r="52" spans="1:14" x14ac:dyDescent="0.3">
      <c r="A52" s="106"/>
      <c r="B52" s="107"/>
      <c r="C52" s="107"/>
      <c r="D52" s="114"/>
      <c r="F52" s="103"/>
      <c r="H52" s="109"/>
      <c r="I52" s="131"/>
      <c r="J52" s="131"/>
      <c r="K52" s="131"/>
      <c r="L52" s="131"/>
      <c r="M52" s="30"/>
      <c r="N52" s="16"/>
    </row>
    <row r="53" spans="1:14" x14ac:dyDescent="0.3">
      <c r="A53" s="106"/>
      <c r="B53" s="107"/>
      <c r="C53" s="107"/>
      <c r="D53" s="113"/>
      <c r="F53" s="103"/>
      <c r="G53" s="104"/>
      <c r="H53" s="109"/>
      <c r="I53" s="131"/>
      <c r="J53" s="131"/>
      <c r="K53" s="131"/>
      <c r="L53" s="131"/>
      <c r="M53" s="30"/>
      <c r="N53" s="16"/>
    </row>
    <row r="54" spans="1:14" x14ac:dyDescent="0.3">
      <c r="A54" s="106"/>
      <c r="B54" s="107"/>
      <c r="C54" s="107"/>
      <c r="D54" s="114"/>
      <c r="F54" s="103"/>
      <c r="G54" s="104"/>
      <c r="H54" s="109"/>
      <c r="I54" s="131"/>
      <c r="J54" s="131"/>
      <c r="K54" s="131"/>
      <c r="L54" s="131"/>
      <c r="M54" s="30"/>
      <c r="N54" s="16"/>
    </row>
    <row r="55" spans="1:14" x14ac:dyDescent="0.3">
      <c r="A55" s="106"/>
      <c r="B55" s="107"/>
      <c r="C55" s="107"/>
      <c r="D55" s="113"/>
      <c r="F55" s="103"/>
      <c r="G55" s="104"/>
      <c r="H55" s="109"/>
      <c r="I55" s="131"/>
      <c r="J55" s="131"/>
      <c r="K55" s="131"/>
      <c r="L55" s="131"/>
      <c r="M55" s="30"/>
      <c r="N55" s="16"/>
    </row>
    <row r="56" spans="1:14" x14ac:dyDescent="0.3">
      <c r="A56" s="106"/>
      <c r="B56" s="107"/>
      <c r="C56" s="107"/>
      <c r="D56" s="114"/>
      <c r="F56" s="103"/>
      <c r="G56" s="104"/>
      <c r="H56" s="109"/>
      <c r="I56" s="131"/>
      <c r="J56" s="131"/>
      <c r="K56" s="131"/>
      <c r="L56" s="131"/>
      <c r="M56" s="30"/>
      <c r="N56" s="16"/>
    </row>
    <row r="57" spans="1:14" x14ac:dyDescent="0.3">
      <c r="A57" s="106"/>
      <c r="B57" s="107"/>
      <c r="C57" s="107"/>
      <c r="D57" s="113"/>
      <c r="F57" s="103"/>
      <c r="G57" s="104"/>
      <c r="H57" s="109"/>
      <c r="I57" s="131"/>
      <c r="J57" s="131"/>
      <c r="K57" s="131"/>
      <c r="L57" s="131"/>
      <c r="M57" s="30"/>
      <c r="N57" s="16"/>
    </row>
    <row r="58" spans="1:14" x14ac:dyDescent="0.3">
      <c r="A58" s="106"/>
      <c r="B58" s="107"/>
      <c r="C58" s="107"/>
      <c r="D58" s="114"/>
      <c r="F58" s="103"/>
      <c r="G58" s="104"/>
      <c r="H58" s="109"/>
      <c r="I58" s="131"/>
      <c r="J58" s="131"/>
      <c r="K58" s="131"/>
      <c r="L58" s="131"/>
      <c r="M58" s="30"/>
      <c r="N58" s="16"/>
    </row>
    <row r="59" spans="1:14" x14ac:dyDescent="0.3">
      <c r="A59" s="106"/>
      <c r="B59" s="107"/>
      <c r="C59" s="107"/>
      <c r="D59" s="113"/>
      <c r="F59" s="103"/>
      <c r="G59" s="104"/>
      <c r="H59" s="109"/>
      <c r="I59" s="131"/>
      <c r="J59" s="190"/>
      <c r="K59" s="190"/>
      <c r="L59" s="131"/>
      <c r="M59" s="30"/>
      <c r="N59" s="16"/>
    </row>
    <row r="60" spans="1:14" x14ac:dyDescent="0.3">
      <c r="A60" s="106"/>
      <c r="B60" s="107"/>
      <c r="C60" s="107"/>
      <c r="D60" s="114"/>
      <c r="F60" s="103"/>
      <c r="G60" s="104"/>
      <c r="H60" s="109"/>
      <c r="I60" s="189"/>
      <c r="J60" s="189"/>
      <c r="K60" s="189"/>
      <c r="L60" s="189"/>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78" t="s">
        <v>56</v>
      </c>
      <c r="B65" s="179"/>
      <c r="C65" s="179"/>
      <c r="D65" s="96">
        <f>SUM(Pest_88[Amount])</f>
        <v>0</v>
      </c>
      <c r="F65" s="173" t="s">
        <v>33</v>
      </c>
      <c r="G65" s="174"/>
      <c r="H65" s="174"/>
    </row>
    <row r="66" spans="1:8" x14ac:dyDescent="0.3">
      <c r="F66" s="173"/>
      <c r="G66" s="174"/>
      <c r="H66" s="174"/>
    </row>
    <row r="67" spans="1:8" ht="17.399999999999999" x14ac:dyDescent="0.3">
      <c r="A67" s="198" t="s">
        <v>69</v>
      </c>
      <c r="B67" s="198"/>
      <c r="C67" s="198"/>
      <c r="D67" s="198"/>
      <c r="E67" s="17"/>
      <c r="F67" s="183" t="s">
        <v>57</v>
      </c>
      <c r="G67" s="184"/>
      <c r="H67" s="185"/>
    </row>
    <row r="68" spans="1:8" x14ac:dyDescent="0.3">
      <c r="A68" s="21" t="s">
        <v>21</v>
      </c>
      <c r="B68" s="22" t="s">
        <v>22</v>
      </c>
      <c r="C68" s="22" t="s">
        <v>23</v>
      </c>
      <c r="D68" s="23" t="s">
        <v>25</v>
      </c>
      <c r="E68" s="24"/>
      <c r="F68" s="186"/>
      <c r="G68" s="187"/>
      <c r="H68" s="188"/>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78" t="s">
        <v>58</v>
      </c>
      <c r="B84" s="179"/>
      <c r="C84" s="179"/>
      <c r="D84" s="96">
        <f>SUM(Garbage_88[Amount])</f>
        <v>0</v>
      </c>
      <c r="E84" s="34"/>
      <c r="F84" s="173" t="s">
        <v>33</v>
      </c>
      <c r="G84" s="174"/>
      <c r="H84" s="174"/>
    </row>
    <row r="85" spans="1:8" x14ac:dyDescent="0.3">
      <c r="A85" s="38"/>
      <c r="B85" s="38"/>
      <c r="C85" s="38"/>
      <c r="D85" s="39"/>
      <c r="E85" s="40"/>
      <c r="F85" s="173"/>
      <c r="G85" s="174"/>
      <c r="H85" s="174"/>
    </row>
    <row r="86" spans="1:8" ht="17.399999999999999" x14ac:dyDescent="0.3">
      <c r="A86" s="191" t="s">
        <v>59</v>
      </c>
      <c r="B86" s="192"/>
      <c r="C86" s="192"/>
      <c r="D86" s="193"/>
      <c r="E86" s="17"/>
      <c r="F86" s="183" t="s">
        <v>60</v>
      </c>
      <c r="G86" s="184"/>
      <c r="H86" s="185"/>
    </row>
    <row r="87" spans="1:8" x14ac:dyDescent="0.3">
      <c r="A87" s="21" t="s">
        <v>21</v>
      </c>
      <c r="B87" s="22" t="s">
        <v>22</v>
      </c>
      <c r="C87" s="22" t="s">
        <v>23</v>
      </c>
      <c r="D87" s="23" t="s">
        <v>25</v>
      </c>
      <c r="E87" s="41"/>
      <c r="F87" s="186"/>
      <c r="G87" s="187"/>
      <c r="H87" s="188"/>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78" t="s">
        <v>61</v>
      </c>
      <c r="B103" s="179"/>
      <c r="C103" s="179"/>
      <c r="D103" s="96">
        <f>SUM(Boarding_88[Amount])</f>
        <v>0</v>
      </c>
      <c r="E103" s="34"/>
      <c r="F103" s="173" t="s">
        <v>33</v>
      </c>
      <c r="G103" s="174"/>
      <c r="H103" s="174"/>
    </row>
    <row r="104" spans="1:8" x14ac:dyDescent="0.3">
      <c r="A104" s="38"/>
      <c r="B104" s="38"/>
      <c r="C104" s="38"/>
      <c r="D104" s="39"/>
      <c r="E104" s="40"/>
      <c r="F104" s="173"/>
      <c r="G104" s="174"/>
      <c r="H104" s="174"/>
    </row>
    <row r="105" spans="1:8" ht="17.399999999999999" x14ac:dyDescent="0.3">
      <c r="A105" s="191" t="s">
        <v>70</v>
      </c>
      <c r="B105" s="192"/>
      <c r="C105" s="192"/>
      <c r="D105" s="193"/>
      <c r="E105" s="17"/>
      <c r="F105" s="183" t="s">
        <v>62</v>
      </c>
      <c r="G105" s="184"/>
      <c r="H105" s="185"/>
    </row>
    <row r="106" spans="1:8" x14ac:dyDescent="0.3">
      <c r="A106" s="21" t="s">
        <v>21</v>
      </c>
      <c r="B106" s="22" t="s">
        <v>22</v>
      </c>
      <c r="C106" s="22" t="s">
        <v>23</v>
      </c>
      <c r="D106" s="23" t="s">
        <v>25</v>
      </c>
      <c r="E106" s="41"/>
      <c r="F106" s="186"/>
      <c r="G106" s="187"/>
      <c r="H106" s="188"/>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78" t="s">
        <v>63</v>
      </c>
      <c r="B122" s="179"/>
      <c r="C122" s="179"/>
      <c r="D122" s="96">
        <f>SUM(Fence_88[Amount])</f>
        <v>0</v>
      </c>
      <c r="E122" s="34"/>
      <c r="F122" s="173" t="s">
        <v>33</v>
      </c>
      <c r="G122" s="174"/>
      <c r="H122" s="174"/>
    </row>
    <row r="123" spans="1:8" x14ac:dyDescent="0.3">
      <c r="F123" s="173"/>
      <c r="G123" s="174"/>
      <c r="H123" s="174"/>
    </row>
    <row r="124" spans="1:8" ht="17.399999999999999" x14ac:dyDescent="0.3">
      <c r="A124" s="191" t="s">
        <v>26</v>
      </c>
      <c r="B124" s="192"/>
      <c r="C124" s="192"/>
      <c r="D124" s="193"/>
      <c r="E124" s="17"/>
      <c r="F124" s="183" t="s">
        <v>11</v>
      </c>
      <c r="G124" s="184"/>
      <c r="H124" s="185"/>
    </row>
    <row r="125" spans="1:8" x14ac:dyDescent="0.3">
      <c r="A125" s="21" t="s">
        <v>21</v>
      </c>
      <c r="B125" s="22" t="s">
        <v>22</v>
      </c>
      <c r="C125" s="22" t="s">
        <v>23</v>
      </c>
      <c r="D125" s="23" t="s">
        <v>25</v>
      </c>
      <c r="E125" s="41"/>
      <c r="F125" s="186"/>
      <c r="G125" s="187"/>
      <c r="H125" s="188"/>
    </row>
    <row r="126" spans="1:8" x14ac:dyDescent="0.3">
      <c r="A126" s="100"/>
      <c r="B126" s="101"/>
      <c r="C126" s="101"/>
      <c r="D126" s="112">
        <v>18210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78" t="s">
        <v>27</v>
      </c>
      <c r="B141" s="179"/>
      <c r="C141" s="179"/>
      <c r="D141" s="96">
        <f>SUM(Demolition_88[Amount])</f>
        <v>18210</v>
      </c>
      <c r="E141" s="34"/>
      <c r="F141" s="173" t="s">
        <v>33</v>
      </c>
      <c r="G141" s="174"/>
      <c r="H141" s="174"/>
    </row>
    <row r="142" spans="1:8" x14ac:dyDescent="0.3">
      <c r="A142" s="38"/>
      <c r="B142" s="38"/>
      <c r="C142" s="38"/>
      <c r="D142" s="39"/>
      <c r="E142" s="40"/>
      <c r="F142" s="173"/>
      <c r="G142" s="174"/>
      <c r="H142" s="174"/>
    </row>
    <row r="143" spans="1:8" ht="17.399999999999999" x14ac:dyDescent="0.3">
      <c r="A143" s="191" t="s">
        <v>64</v>
      </c>
      <c r="B143" s="192"/>
      <c r="C143" s="192"/>
      <c r="D143" s="193"/>
      <c r="E143" s="17"/>
      <c r="F143" s="183" t="s">
        <v>44</v>
      </c>
      <c r="G143" s="184"/>
      <c r="H143" s="185"/>
    </row>
    <row r="144" spans="1:8" x14ac:dyDescent="0.3">
      <c r="A144" s="21" t="s">
        <v>21</v>
      </c>
      <c r="B144" s="22" t="s">
        <v>22</v>
      </c>
      <c r="C144" s="22" t="s">
        <v>23</v>
      </c>
      <c r="D144" s="23" t="s">
        <v>25</v>
      </c>
      <c r="E144" s="41"/>
      <c r="F144" s="186"/>
      <c r="G144" s="187"/>
      <c r="H144" s="188"/>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78" t="s">
        <v>65</v>
      </c>
      <c r="B160" s="179"/>
      <c r="C160" s="179"/>
      <c r="D160" s="96">
        <f>SUM(Rehab_88[Amount])</f>
        <v>0</v>
      </c>
      <c r="E160" s="34"/>
      <c r="F160" s="173" t="s">
        <v>33</v>
      </c>
      <c r="G160" s="174"/>
      <c r="H160" s="174"/>
    </row>
    <row r="161" spans="6:8" x14ac:dyDescent="0.3">
      <c r="F161" s="173"/>
      <c r="G161" s="174"/>
      <c r="H161" s="174"/>
    </row>
  </sheetData>
  <sheetProtection algorithmName="SHA-512" hashValue="FY3gz+D3+F0MmiJcLqFbJCX5nzlwK4I5SgAsBX26isqH77oawlF1ZODXhJVxnL/Veb9AqkVtQopyDh8Id+wG8Q==" saltValue="s0mBlmowQiFIqhjfoJt05g=="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N161"/>
  <sheetViews>
    <sheetView showGridLines="0" zoomScaleNormal="100" workbookViewId="0">
      <pane ySplit="9" topLeftCell="A112" activePane="bottomLeft" state="frozen"/>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5" t="s">
        <v>24</v>
      </c>
      <c r="B1" s="175"/>
      <c r="C1" s="175"/>
      <c r="D1" s="175"/>
      <c r="E1" s="1"/>
      <c r="F1" s="2"/>
      <c r="G1" s="2"/>
      <c r="H1" s="1"/>
    </row>
    <row r="2" spans="1:14" ht="24.9" customHeight="1" x14ac:dyDescent="0.3">
      <c r="A2" s="176" t="s">
        <v>71</v>
      </c>
      <c r="B2" s="176"/>
      <c r="C2" s="176"/>
      <c r="D2" s="176"/>
      <c r="E2" s="4"/>
      <c r="F2" s="90"/>
      <c r="G2" s="90"/>
      <c r="H2" s="5"/>
    </row>
    <row r="3" spans="1:14" ht="31.5" customHeight="1" x14ac:dyDescent="0.3">
      <c r="A3" s="176"/>
      <c r="B3" s="176"/>
      <c r="C3" s="176"/>
      <c r="D3" s="176"/>
      <c r="E3" s="4"/>
      <c r="F3" s="90"/>
      <c r="G3" s="90"/>
      <c r="H3" s="5"/>
    </row>
    <row r="4" spans="1:14" ht="15" customHeight="1" x14ac:dyDescent="0.25">
      <c r="A4" s="75" t="s">
        <v>19</v>
      </c>
      <c r="B4" s="194" t="str">
        <f>IF('Summary Sheet'!B40="","",'Summary Sheet'!B40)</f>
        <v>1309 S CHRISTIANA AVE</v>
      </c>
      <c r="C4" s="194"/>
      <c r="D4" s="90"/>
      <c r="E4" s="4"/>
      <c r="F4" s="90"/>
      <c r="G4" s="90"/>
      <c r="H4" s="5"/>
    </row>
    <row r="5" spans="1:14" ht="15" customHeight="1" x14ac:dyDescent="0.25">
      <c r="A5" s="75" t="s">
        <v>20</v>
      </c>
      <c r="B5" s="195" t="str">
        <f>IF('Summary Sheet'!C40="","",'Summary Sheet'!C40)</f>
        <v/>
      </c>
      <c r="C5" s="195"/>
      <c r="D5" s="90"/>
      <c r="E5" s="4"/>
      <c r="F5" s="90"/>
      <c r="G5" s="90"/>
      <c r="H5" s="5"/>
    </row>
    <row r="6" spans="1:14" ht="15" customHeight="1" x14ac:dyDescent="0.25">
      <c r="A6" s="75" t="s">
        <v>36</v>
      </c>
      <c r="B6" s="177"/>
      <c r="C6" s="177"/>
      <c r="D6" s="6"/>
      <c r="E6" s="7"/>
    </row>
    <row r="7" spans="1:14" ht="15" customHeight="1" x14ac:dyDescent="0.25">
      <c r="A7" s="7"/>
      <c r="B7" s="196" t="s">
        <v>34</v>
      </c>
      <c r="C7" s="196"/>
      <c r="D7" s="10"/>
    </row>
    <row r="8" spans="1:14" ht="20.100000000000001" customHeight="1" x14ac:dyDescent="0.25">
      <c r="B8" s="11"/>
      <c r="C8" s="11"/>
      <c r="D8" s="12" t="s">
        <v>31</v>
      </c>
      <c r="F8" s="180" t="s">
        <v>32</v>
      </c>
      <c r="G8" s="181"/>
      <c r="H8" s="182"/>
    </row>
    <row r="9" spans="1:14" s="14" customFormat="1" ht="20.100000000000001" customHeight="1" x14ac:dyDescent="0.25">
      <c r="A9" s="197"/>
      <c r="B9" s="197"/>
      <c r="C9" s="197"/>
      <c r="D9" s="13">
        <f>SUM(D27,D46,D65,D84,D103,D122,D141,D160)</f>
        <v>25510</v>
      </c>
      <c r="F9" s="15" t="s">
        <v>28</v>
      </c>
      <c r="G9" s="15" t="s">
        <v>29</v>
      </c>
      <c r="H9" s="15" t="s">
        <v>30</v>
      </c>
      <c r="I9" s="16"/>
      <c r="J9" s="16"/>
      <c r="K9" s="16"/>
      <c r="L9" s="16"/>
      <c r="M9" s="16"/>
      <c r="N9" s="16"/>
    </row>
    <row r="10" spans="1:14" s="17" customFormat="1" ht="23.1" customHeight="1" x14ac:dyDescent="0.3">
      <c r="A10" s="198" t="s">
        <v>51</v>
      </c>
      <c r="B10" s="198"/>
      <c r="C10" s="198"/>
      <c r="D10" s="198"/>
      <c r="F10" s="183" t="s">
        <v>66</v>
      </c>
      <c r="G10" s="184"/>
      <c r="H10" s="185"/>
      <c r="I10" s="18"/>
      <c r="J10" s="18"/>
      <c r="K10" s="18"/>
      <c r="L10" s="18"/>
      <c r="M10" s="19"/>
      <c r="N10" s="20"/>
    </row>
    <row r="11" spans="1:14" s="24" customFormat="1" ht="12.75" customHeight="1" x14ac:dyDescent="0.25">
      <c r="A11" s="21" t="s">
        <v>21</v>
      </c>
      <c r="B11" s="22" t="s">
        <v>22</v>
      </c>
      <c r="C11" s="22" t="s">
        <v>23</v>
      </c>
      <c r="D11" s="23" t="s">
        <v>25</v>
      </c>
      <c r="F11" s="186"/>
      <c r="G11" s="187"/>
      <c r="H11" s="188"/>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78" t="s">
        <v>53</v>
      </c>
      <c r="B27" s="179"/>
      <c r="C27" s="179"/>
      <c r="D27" s="96">
        <f>SUM(Grass_8[Amount])</f>
        <v>0</v>
      </c>
      <c r="F27" s="173" t="s">
        <v>33</v>
      </c>
      <c r="G27" s="174"/>
      <c r="H27" s="174"/>
      <c r="I27" s="35"/>
      <c r="J27" s="35"/>
      <c r="K27" s="35"/>
      <c r="L27" s="35"/>
      <c r="M27" s="36"/>
      <c r="N27" s="37"/>
    </row>
    <row r="28" spans="1:14" s="40" customFormat="1" ht="11.1" customHeight="1" x14ac:dyDescent="0.3">
      <c r="A28" s="38"/>
      <c r="B28" s="38"/>
      <c r="C28" s="38"/>
      <c r="D28" s="39"/>
      <c r="F28" s="173"/>
      <c r="G28" s="174"/>
      <c r="H28" s="174"/>
      <c r="I28" s="35"/>
      <c r="J28" s="35"/>
      <c r="K28" s="35"/>
      <c r="L28" s="35"/>
      <c r="M28" s="36"/>
      <c r="N28" s="37"/>
    </row>
    <row r="29" spans="1:14" s="17" customFormat="1" ht="23.1" customHeight="1" x14ac:dyDescent="0.3">
      <c r="A29" s="191" t="s">
        <v>67</v>
      </c>
      <c r="B29" s="192"/>
      <c r="C29" s="192"/>
      <c r="D29" s="193"/>
      <c r="F29" s="183" t="s">
        <v>52</v>
      </c>
      <c r="G29" s="184"/>
      <c r="H29" s="185"/>
      <c r="I29" s="18"/>
      <c r="J29" s="18"/>
      <c r="K29" s="18"/>
      <c r="L29" s="18"/>
      <c r="M29" s="19"/>
      <c r="N29" s="20"/>
    </row>
    <row r="30" spans="1:14" s="41" customFormat="1" ht="12.75" customHeight="1" x14ac:dyDescent="0.25">
      <c r="A30" s="21" t="s">
        <v>21</v>
      </c>
      <c r="B30" s="22" t="s">
        <v>22</v>
      </c>
      <c r="C30" s="22" t="s">
        <v>23</v>
      </c>
      <c r="D30" s="23" t="s">
        <v>25</v>
      </c>
      <c r="F30" s="186"/>
      <c r="G30" s="187"/>
      <c r="H30" s="188"/>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89"/>
      <c r="J44" s="29"/>
      <c r="K44" s="29"/>
      <c r="L44" s="89"/>
      <c r="M44" s="30"/>
      <c r="N44" s="16"/>
    </row>
    <row r="45" spans="1:14" x14ac:dyDescent="0.3">
      <c r="A45" s="106"/>
      <c r="B45" s="107"/>
      <c r="C45" s="107"/>
      <c r="D45" s="114"/>
      <c r="F45" s="103"/>
      <c r="G45" s="104"/>
      <c r="H45" s="109"/>
      <c r="I45" s="89"/>
      <c r="J45" s="29"/>
      <c r="K45" s="29"/>
      <c r="L45" s="89"/>
      <c r="M45" s="30"/>
      <c r="N45" s="16"/>
    </row>
    <row r="46" spans="1:14" s="34" customFormat="1" x14ac:dyDescent="0.3">
      <c r="A46" s="178" t="s">
        <v>54</v>
      </c>
      <c r="B46" s="179"/>
      <c r="C46" s="179"/>
      <c r="D46" s="96">
        <f>SUM(Tree_8[Amount])</f>
        <v>0</v>
      </c>
      <c r="F46" s="173" t="s">
        <v>33</v>
      </c>
      <c r="G46" s="174"/>
      <c r="H46" s="174"/>
      <c r="I46" s="43"/>
      <c r="J46" s="43"/>
      <c r="K46" s="43"/>
      <c r="L46" s="43"/>
      <c r="M46" s="36"/>
      <c r="N46" s="37"/>
    </row>
    <row r="47" spans="1:14" s="40" customFormat="1" ht="11.1" customHeight="1" x14ac:dyDescent="0.3">
      <c r="A47" s="38"/>
      <c r="B47" s="38"/>
      <c r="C47" s="38"/>
      <c r="D47" s="39"/>
      <c r="F47" s="173"/>
      <c r="G47" s="174"/>
      <c r="H47" s="174"/>
      <c r="I47" s="43"/>
      <c r="J47" s="43"/>
      <c r="K47" s="43"/>
      <c r="L47" s="43"/>
      <c r="M47" s="36"/>
      <c r="N47" s="37"/>
    </row>
    <row r="48" spans="1:14" s="17" customFormat="1" ht="23.1" customHeight="1" x14ac:dyDescent="0.3">
      <c r="A48" s="191" t="s">
        <v>68</v>
      </c>
      <c r="B48" s="192"/>
      <c r="C48" s="192"/>
      <c r="D48" s="193"/>
      <c r="F48" s="183" t="s">
        <v>55</v>
      </c>
      <c r="G48" s="184"/>
      <c r="H48" s="185"/>
      <c r="I48" s="44"/>
      <c r="J48" s="44"/>
      <c r="K48" s="44"/>
      <c r="L48" s="44"/>
      <c r="M48" s="19"/>
      <c r="N48" s="20"/>
    </row>
    <row r="49" spans="1:14" s="41" customFormat="1" ht="12.75" customHeight="1" x14ac:dyDescent="0.25">
      <c r="A49" s="21" t="s">
        <v>21</v>
      </c>
      <c r="B49" s="22" t="s">
        <v>22</v>
      </c>
      <c r="C49" s="22" t="s">
        <v>23</v>
      </c>
      <c r="D49" s="23" t="s">
        <v>25</v>
      </c>
      <c r="F49" s="186"/>
      <c r="G49" s="187"/>
      <c r="H49" s="188"/>
      <c r="I49" s="89"/>
      <c r="J49" s="89"/>
      <c r="K49" s="89"/>
      <c r="L49" s="89"/>
      <c r="M49" s="30"/>
      <c r="N49" s="42"/>
    </row>
    <row r="50" spans="1:14" x14ac:dyDescent="0.3">
      <c r="A50" s="100"/>
      <c r="B50" s="101"/>
      <c r="C50" s="101"/>
      <c r="D50" s="112"/>
      <c r="F50" s="103"/>
      <c r="G50" s="104"/>
      <c r="H50" s="109"/>
      <c r="I50" s="89"/>
      <c r="J50" s="89"/>
      <c r="K50" s="89"/>
      <c r="L50" s="89"/>
      <c r="M50" s="30"/>
      <c r="N50" s="16"/>
    </row>
    <row r="51" spans="1:14" x14ac:dyDescent="0.3">
      <c r="A51" s="106"/>
      <c r="B51" s="107"/>
      <c r="C51" s="107"/>
      <c r="D51" s="113"/>
      <c r="F51" s="103"/>
      <c r="G51" s="104"/>
      <c r="H51" s="109"/>
      <c r="I51" s="89"/>
      <c r="J51" s="89"/>
      <c r="K51" s="89"/>
      <c r="L51" s="89"/>
      <c r="M51" s="30"/>
      <c r="N51" s="16"/>
    </row>
    <row r="52" spans="1:14" x14ac:dyDescent="0.3">
      <c r="A52" s="106"/>
      <c r="B52" s="107"/>
      <c r="C52" s="107"/>
      <c r="D52" s="114"/>
      <c r="F52" s="103"/>
      <c r="H52" s="109"/>
      <c r="I52" s="89"/>
      <c r="J52" s="89"/>
      <c r="K52" s="89"/>
      <c r="L52" s="89"/>
      <c r="M52" s="30"/>
      <c r="N52" s="16"/>
    </row>
    <row r="53" spans="1:14" x14ac:dyDescent="0.3">
      <c r="A53" s="106"/>
      <c r="B53" s="107"/>
      <c r="C53" s="107"/>
      <c r="D53" s="113"/>
      <c r="F53" s="103"/>
      <c r="G53" s="104"/>
      <c r="H53" s="109"/>
      <c r="I53" s="89"/>
      <c r="J53" s="89"/>
      <c r="K53" s="89"/>
      <c r="L53" s="89"/>
      <c r="M53" s="30"/>
      <c r="N53" s="16"/>
    </row>
    <row r="54" spans="1:14" x14ac:dyDescent="0.3">
      <c r="A54" s="106"/>
      <c r="B54" s="107"/>
      <c r="C54" s="107"/>
      <c r="D54" s="114"/>
      <c r="F54" s="103"/>
      <c r="G54" s="104"/>
      <c r="H54" s="109"/>
      <c r="I54" s="89"/>
      <c r="J54" s="89"/>
      <c r="K54" s="89"/>
      <c r="L54" s="89"/>
      <c r="M54" s="30"/>
      <c r="N54" s="16"/>
    </row>
    <row r="55" spans="1:14" x14ac:dyDescent="0.3">
      <c r="A55" s="106"/>
      <c r="B55" s="107"/>
      <c r="C55" s="107"/>
      <c r="D55" s="113"/>
      <c r="F55" s="103"/>
      <c r="G55" s="104"/>
      <c r="H55" s="109"/>
      <c r="I55" s="89"/>
      <c r="J55" s="89"/>
      <c r="K55" s="89"/>
      <c r="L55" s="89"/>
      <c r="M55" s="30"/>
      <c r="N55" s="16"/>
    </row>
    <row r="56" spans="1:14" x14ac:dyDescent="0.3">
      <c r="A56" s="106"/>
      <c r="B56" s="107"/>
      <c r="C56" s="107"/>
      <c r="D56" s="114"/>
      <c r="F56" s="103"/>
      <c r="G56" s="104"/>
      <c r="H56" s="109"/>
      <c r="I56" s="89"/>
      <c r="J56" s="89"/>
      <c r="K56" s="89"/>
      <c r="L56" s="89"/>
      <c r="M56" s="30"/>
      <c r="N56" s="16"/>
    </row>
    <row r="57" spans="1:14" x14ac:dyDescent="0.3">
      <c r="A57" s="106"/>
      <c r="B57" s="107"/>
      <c r="C57" s="107"/>
      <c r="D57" s="113"/>
      <c r="F57" s="103"/>
      <c r="G57" s="104"/>
      <c r="H57" s="109"/>
      <c r="I57" s="89"/>
      <c r="J57" s="89"/>
      <c r="K57" s="89"/>
      <c r="L57" s="89"/>
      <c r="M57" s="30"/>
      <c r="N57" s="16"/>
    </row>
    <row r="58" spans="1:14" x14ac:dyDescent="0.3">
      <c r="A58" s="106"/>
      <c r="B58" s="107"/>
      <c r="C58" s="107"/>
      <c r="D58" s="114"/>
      <c r="F58" s="103"/>
      <c r="G58" s="104"/>
      <c r="H58" s="109"/>
      <c r="I58" s="89"/>
      <c r="J58" s="89"/>
      <c r="K58" s="89"/>
      <c r="L58" s="89"/>
      <c r="M58" s="30"/>
      <c r="N58" s="16"/>
    </row>
    <row r="59" spans="1:14" x14ac:dyDescent="0.3">
      <c r="A59" s="106"/>
      <c r="B59" s="107"/>
      <c r="C59" s="107"/>
      <c r="D59" s="113"/>
      <c r="F59" s="103"/>
      <c r="G59" s="104"/>
      <c r="H59" s="109"/>
      <c r="I59" s="89"/>
      <c r="J59" s="190"/>
      <c r="K59" s="190"/>
      <c r="L59" s="89"/>
      <c r="M59" s="30"/>
      <c r="N59" s="16"/>
    </row>
    <row r="60" spans="1:14" x14ac:dyDescent="0.3">
      <c r="A60" s="106"/>
      <c r="B60" s="107"/>
      <c r="C60" s="107"/>
      <c r="D60" s="114"/>
      <c r="F60" s="103"/>
      <c r="G60" s="104"/>
      <c r="H60" s="109"/>
      <c r="I60" s="189"/>
      <c r="J60" s="189"/>
      <c r="K60" s="189"/>
      <c r="L60" s="189"/>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78" t="s">
        <v>56</v>
      </c>
      <c r="B65" s="179"/>
      <c r="C65" s="179"/>
      <c r="D65" s="96">
        <f>SUM(Pest_8[Amount])</f>
        <v>0</v>
      </c>
      <c r="F65" s="173" t="s">
        <v>33</v>
      </c>
      <c r="G65" s="174"/>
      <c r="H65" s="174"/>
    </row>
    <row r="66" spans="1:8" x14ac:dyDescent="0.3">
      <c r="F66" s="173"/>
      <c r="G66" s="174"/>
      <c r="H66" s="174"/>
    </row>
    <row r="67" spans="1:8" ht="17.399999999999999" x14ac:dyDescent="0.3">
      <c r="A67" s="198" t="s">
        <v>69</v>
      </c>
      <c r="B67" s="198"/>
      <c r="C67" s="198"/>
      <c r="D67" s="198"/>
      <c r="E67" s="17"/>
      <c r="F67" s="183" t="s">
        <v>57</v>
      </c>
      <c r="G67" s="184"/>
      <c r="H67" s="185"/>
    </row>
    <row r="68" spans="1:8" x14ac:dyDescent="0.3">
      <c r="A68" s="21" t="s">
        <v>21</v>
      </c>
      <c r="B68" s="22" t="s">
        <v>22</v>
      </c>
      <c r="C68" s="22" t="s">
        <v>23</v>
      </c>
      <c r="D68" s="23" t="s">
        <v>25</v>
      </c>
      <c r="E68" s="24"/>
      <c r="F68" s="186"/>
      <c r="G68" s="187"/>
      <c r="H68" s="188"/>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78" t="s">
        <v>58</v>
      </c>
      <c r="B84" s="179"/>
      <c r="C84" s="179"/>
      <c r="D84" s="96">
        <f>SUM(Garbage_8[Amount])</f>
        <v>0</v>
      </c>
      <c r="E84" s="34"/>
      <c r="F84" s="173" t="s">
        <v>33</v>
      </c>
      <c r="G84" s="174"/>
      <c r="H84" s="174"/>
    </row>
    <row r="85" spans="1:8" x14ac:dyDescent="0.3">
      <c r="A85" s="38"/>
      <c r="B85" s="38"/>
      <c r="C85" s="38"/>
      <c r="D85" s="39"/>
      <c r="E85" s="40"/>
      <c r="F85" s="173"/>
      <c r="G85" s="174"/>
      <c r="H85" s="174"/>
    </row>
    <row r="86" spans="1:8" ht="17.399999999999999" x14ac:dyDescent="0.3">
      <c r="A86" s="191" t="s">
        <v>59</v>
      </c>
      <c r="B86" s="192"/>
      <c r="C86" s="192"/>
      <c r="D86" s="193"/>
      <c r="E86" s="17"/>
      <c r="F86" s="183" t="s">
        <v>60</v>
      </c>
      <c r="G86" s="184"/>
      <c r="H86" s="185"/>
    </row>
    <row r="87" spans="1:8" x14ac:dyDescent="0.3">
      <c r="A87" s="21" t="s">
        <v>21</v>
      </c>
      <c r="B87" s="22" t="s">
        <v>22</v>
      </c>
      <c r="C87" s="22" t="s">
        <v>23</v>
      </c>
      <c r="D87" s="23" t="s">
        <v>25</v>
      </c>
      <c r="E87" s="41"/>
      <c r="F87" s="186"/>
      <c r="G87" s="187"/>
      <c r="H87" s="188"/>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78" t="s">
        <v>61</v>
      </c>
      <c r="B103" s="179"/>
      <c r="C103" s="179"/>
      <c r="D103" s="96">
        <f>SUM(Boarding_8[Amount])</f>
        <v>0</v>
      </c>
      <c r="E103" s="34"/>
      <c r="F103" s="173" t="s">
        <v>33</v>
      </c>
      <c r="G103" s="174"/>
      <c r="H103" s="174"/>
    </row>
    <row r="104" spans="1:8" x14ac:dyDescent="0.3">
      <c r="A104" s="38"/>
      <c r="B104" s="38"/>
      <c r="C104" s="38"/>
      <c r="D104" s="39"/>
      <c r="E104" s="40"/>
      <c r="F104" s="173"/>
      <c r="G104" s="174"/>
      <c r="H104" s="174"/>
    </row>
    <row r="105" spans="1:8" ht="17.399999999999999" x14ac:dyDescent="0.3">
      <c r="A105" s="191" t="s">
        <v>70</v>
      </c>
      <c r="B105" s="192"/>
      <c r="C105" s="192"/>
      <c r="D105" s="193"/>
      <c r="E105" s="17"/>
      <c r="F105" s="183" t="s">
        <v>62</v>
      </c>
      <c r="G105" s="184"/>
      <c r="H105" s="185"/>
    </row>
    <row r="106" spans="1:8" x14ac:dyDescent="0.3">
      <c r="A106" s="21" t="s">
        <v>21</v>
      </c>
      <c r="B106" s="22" t="s">
        <v>22</v>
      </c>
      <c r="C106" s="22" t="s">
        <v>23</v>
      </c>
      <c r="D106" s="23" t="s">
        <v>25</v>
      </c>
      <c r="E106" s="41"/>
      <c r="F106" s="186"/>
      <c r="G106" s="187"/>
      <c r="H106" s="188"/>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78" t="s">
        <v>63</v>
      </c>
      <c r="B122" s="179"/>
      <c r="C122" s="179"/>
      <c r="D122" s="96">
        <f>SUM(Fence_8[Amount])</f>
        <v>0</v>
      </c>
      <c r="E122" s="34"/>
      <c r="F122" s="173" t="s">
        <v>33</v>
      </c>
      <c r="G122" s="174"/>
      <c r="H122" s="174"/>
    </row>
    <row r="123" spans="1:8" x14ac:dyDescent="0.3">
      <c r="F123" s="173"/>
      <c r="G123" s="174"/>
      <c r="H123" s="174"/>
    </row>
    <row r="124" spans="1:8" ht="17.399999999999999" x14ac:dyDescent="0.3">
      <c r="A124" s="191" t="s">
        <v>26</v>
      </c>
      <c r="B124" s="192"/>
      <c r="C124" s="192"/>
      <c r="D124" s="193"/>
      <c r="E124" s="17"/>
      <c r="F124" s="183" t="s">
        <v>11</v>
      </c>
      <c r="G124" s="184"/>
      <c r="H124" s="185"/>
    </row>
    <row r="125" spans="1:8" x14ac:dyDescent="0.3">
      <c r="A125" s="21" t="s">
        <v>21</v>
      </c>
      <c r="B125" s="22" t="s">
        <v>22</v>
      </c>
      <c r="C125" s="22" t="s">
        <v>23</v>
      </c>
      <c r="D125" s="23" t="s">
        <v>25</v>
      </c>
      <c r="E125" s="41"/>
      <c r="F125" s="186"/>
      <c r="G125" s="187"/>
      <c r="H125" s="188"/>
    </row>
    <row r="126" spans="1:8" x14ac:dyDescent="0.3">
      <c r="A126" s="100"/>
      <c r="B126" s="101"/>
      <c r="C126" s="101"/>
      <c r="D126" s="147">
        <v>25510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78" t="s">
        <v>27</v>
      </c>
      <c r="B141" s="179"/>
      <c r="C141" s="179"/>
      <c r="D141" s="96">
        <f>SUM(Demolition_8[Amount])</f>
        <v>25510</v>
      </c>
      <c r="E141" s="34"/>
      <c r="F141" s="173" t="s">
        <v>33</v>
      </c>
      <c r="G141" s="174"/>
      <c r="H141" s="174"/>
    </row>
    <row r="142" spans="1:8" x14ac:dyDescent="0.3">
      <c r="A142" s="38"/>
      <c r="B142" s="38"/>
      <c r="C142" s="38"/>
      <c r="D142" s="39"/>
      <c r="E142" s="40"/>
      <c r="F142" s="173"/>
      <c r="G142" s="174"/>
      <c r="H142" s="174"/>
    </row>
    <row r="143" spans="1:8" ht="17.399999999999999" x14ac:dyDescent="0.3">
      <c r="A143" s="191" t="s">
        <v>64</v>
      </c>
      <c r="B143" s="192"/>
      <c r="C143" s="192"/>
      <c r="D143" s="193"/>
      <c r="E143" s="17"/>
      <c r="F143" s="183" t="s">
        <v>44</v>
      </c>
      <c r="G143" s="184"/>
      <c r="H143" s="185"/>
    </row>
    <row r="144" spans="1:8" x14ac:dyDescent="0.3">
      <c r="A144" s="21" t="s">
        <v>21</v>
      </c>
      <c r="B144" s="22" t="s">
        <v>22</v>
      </c>
      <c r="C144" s="22" t="s">
        <v>23</v>
      </c>
      <c r="D144" s="23" t="s">
        <v>25</v>
      </c>
      <c r="E144" s="41"/>
      <c r="F144" s="186"/>
      <c r="G144" s="187"/>
      <c r="H144" s="188"/>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78" t="s">
        <v>65</v>
      </c>
      <c r="B160" s="179"/>
      <c r="C160" s="179"/>
      <c r="D160" s="96">
        <f>SUM(Rehab_8[Amount])</f>
        <v>0</v>
      </c>
      <c r="E160" s="34"/>
      <c r="F160" s="173" t="s">
        <v>33</v>
      </c>
      <c r="G160" s="174"/>
      <c r="H160" s="174"/>
    </row>
    <row r="161" spans="6:8" x14ac:dyDescent="0.3">
      <c r="F161" s="173"/>
      <c r="G161" s="174"/>
      <c r="H161" s="174"/>
    </row>
  </sheetData>
  <sheetProtection algorithmName="SHA-512" hashValue="x0t7Oh3boHLD9HYmNazVXzL4yoRU7sQVjJgiOwlbrqoBKvoH6wHK+I2TJYURC3g/63qZBHkqjhUefQFHj6eMvQ==" saltValue="1Q/rA6z+39E9Q/wX6T6rXA==" spinCount="100000" sheet="1" insertRows="0" deleteRows="0"/>
  <protectedRanges>
    <protectedRange sqref="G160 F145:H159 G141 F126:H140 G122 F107:H121 G103 F88:H102 G84 F69:H83 G65 F50:H64 G46 F31:H45 G27 F12:H26" name="Comments"/>
    <protectedRange sqref="A145:D159" name="Rehab"/>
    <protectedRange sqref="A126:D140" name="Demolition"/>
    <protectedRange sqref="A107:D121" name="Fence"/>
    <protectedRange sqref="A88:D102" name="Boarding"/>
    <protectedRange sqref="A69:D83" name="Garbage"/>
    <protectedRange sqref="A50:D64" name="Pest"/>
    <protectedRange sqref="A31:D45" name="Tree"/>
    <protectedRange sqref="B6" name="Units"/>
    <protectedRange sqref="A12:D26" name="Gras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61"/>
  <sheetViews>
    <sheetView showGridLines="0" zoomScaleNormal="100" workbookViewId="0">
      <pane ySplit="9" topLeftCell="A118"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5" t="s">
        <v>24</v>
      </c>
      <c r="B1" s="175"/>
      <c r="C1" s="175"/>
      <c r="D1" s="175"/>
      <c r="E1" s="1"/>
      <c r="F1" s="2"/>
      <c r="G1" s="2"/>
      <c r="H1" s="1"/>
    </row>
    <row r="2" spans="1:14" ht="24.9" customHeight="1" x14ac:dyDescent="0.3">
      <c r="A2" s="176" t="s">
        <v>71</v>
      </c>
      <c r="B2" s="176"/>
      <c r="C2" s="176"/>
      <c r="D2" s="176"/>
      <c r="E2" s="4"/>
      <c r="F2" s="130"/>
      <c r="G2" s="130"/>
      <c r="H2" s="5"/>
    </row>
    <row r="3" spans="1:14" ht="31.5" customHeight="1" x14ac:dyDescent="0.3">
      <c r="A3" s="176"/>
      <c r="B3" s="176"/>
      <c r="C3" s="176"/>
      <c r="D3" s="176"/>
      <c r="E3" s="4"/>
      <c r="F3" s="130"/>
      <c r="G3" s="130"/>
      <c r="H3" s="5"/>
    </row>
    <row r="4" spans="1:14" ht="15" customHeight="1" x14ac:dyDescent="0.25">
      <c r="A4" s="75" t="s">
        <v>19</v>
      </c>
      <c r="B4" s="194" t="str">
        <f>IF('Summary Sheet'!B121="","",'Summary Sheet'!B121)</f>
        <v>3605 W HARRISON ST</v>
      </c>
      <c r="C4" s="194"/>
      <c r="D4" s="130"/>
      <c r="E4" s="4"/>
      <c r="F4" s="130"/>
      <c r="G4" s="130"/>
      <c r="H4" s="5"/>
    </row>
    <row r="5" spans="1:14" ht="15" customHeight="1" x14ac:dyDescent="0.25">
      <c r="A5" s="75" t="s">
        <v>20</v>
      </c>
      <c r="B5" s="195" t="str">
        <f>IF('Summary Sheet'!C121="","",'Summary Sheet'!C121)</f>
        <v/>
      </c>
      <c r="C5" s="195"/>
      <c r="D5" s="130"/>
      <c r="E5" s="4"/>
      <c r="F5" s="130"/>
      <c r="G5" s="130"/>
      <c r="H5" s="5"/>
    </row>
    <row r="6" spans="1:14" ht="15" customHeight="1" x14ac:dyDescent="0.25">
      <c r="A6" s="75" t="s">
        <v>36</v>
      </c>
      <c r="B6" s="177"/>
      <c r="C6" s="177"/>
      <c r="D6" s="6"/>
      <c r="E6" s="7"/>
    </row>
    <row r="7" spans="1:14" ht="15" customHeight="1" x14ac:dyDescent="0.25">
      <c r="A7" s="7"/>
      <c r="B7" s="196" t="s">
        <v>34</v>
      </c>
      <c r="C7" s="196"/>
      <c r="D7" s="10"/>
    </row>
    <row r="8" spans="1:14" ht="20.100000000000001" customHeight="1" x14ac:dyDescent="0.25">
      <c r="B8" s="11"/>
      <c r="C8" s="11"/>
      <c r="D8" s="12" t="s">
        <v>31</v>
      </c>
      <c r="F8" s="180" t="s">
        <v>32</v>
      </c>
      <c r="G8" s="181"/>
      <c r="H8" s="182"/>
    </row>
    <row r="9" spans="1:14" s="14" customFormat="1" ht="20.100000000000001" customHeight="1" x14ac:dyDescent="0.25">
      <c r="A9" s="197"/>
      <c r="B9" s="197"/>
      <c r="C9" s="197"/>
      <c r="D9" s="13">
        <f>SUM(D27,D46,D65,D84,D103,D122,D141,D160)</f>
        <v>14310</v>
      </c>
      <c r="F9" s="15" t="s">
        <v>28</v>
      </c>
      <c r="G9" s="15" t="s">
        <v>29</v>
      </c>
      <c r="H9" s="15" t="s">
        <v>30</v>
      </c>
      <c r="I9" s="16"/>
      <c r="J9" s="16"/>
      <c r="K9" s="16"/>
      <c r="L9" s="16"/>
      <c r="M9" s="16"/>
      <c r="N9" s="16"/>
    </row>
    <row r="10" spans="1:14" s="17" customFormat="1" ht="23.1" customHeight="1" x14ac:dyDescent="0.3">
      <c r="A10" s="198" t="s">
        <v>51</v>
      </c>
      <c r="B10" s="198"/>
      <c r="C10" s="198"/>
      <c r="D10" s="198"/>
      <c r="F10" s="183" t="s">
        <v>66</v>
      </c>
      <c r="G10" s="184"/>
      <c r="H10" s="185"/>
      <c r="I10" s="18"/>
      <c r="J10" s="18"/>
      <c r="K10" s="18"/>
      <c r="L10" s="18"/>
      <c r="M10" s="19"/>
      <c r="N10" s="20"/>
    </row>
    <row r="11" spans="1:14" s="24" customFormat="1" ht="12.75" customHeight="1" x14ac:dyDescent="0.25">
      <c r="A11" s="21" t="s">
        <v>21</v>
      </c>
      <c r="B11" s="22" t="s">
        <v>22</v>
      </c>
      <c r="C11" s="22" t="s">
        <v>23</v>
      </c>
      <c r="D11" s="23" t="s">
        <v>25</v>
      </c>
      <c r="F11" s="186"/>
      <c r="G11" s="187"/>
      <c r="H11" s="188"/>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78" t="s">
        <v>53</v>
      </c>
      <c r="B27" s="179"/>
      <c r="C27" s="179"/>
      <c r="D27" s="96">
        <f>SUM(Grass_89[Amount])</f>
        <v>0</v>
      </c>
      <c r="F27" s="173" t="s">
        <v>33</v>
      </c>
      <c r="G27" s="174"/>
      <c r="H27" s="174"/>
      <c r="I27" s="35"/>
      <c r="J27" s="35"/>
      <c r="K27" s="35"/>
      <c r="L27" s="35"/>
      <c r="M27" s="36"/>
      <c r="N27" s="37"/>
    </row>
    <row r="28" spans="1:14" s="40" customFormat="1" ht="11.1" customHeight="1" x14ac:dyDescent="0.3">
      <c r="A28" s="38"/>
      <c r="B28" s="38"/>
      <c r="C28" s="38"/>
      <c r="D28" s="39"/>
      <c r="F28" s="173"/>
      <c r="G28" s="174"/>
      <c r="H28" s="174"/>
      <c r="I28" s="35"/>
      <c r="J28" s="35"/>
      <c r="K28" s="35"/>
      <c r="L28" s="35"/>
      <c r="M28" s="36"/>
      <c r="N28" s="37"/>
    </row>
    <row r="29" spans="1:14" s="17" customFormat="1" ht="23.1" customHeight="1" x14ac:dyDescent="0.3">
      <c r="A29" s="191" t="s">
        <v>67</v>
      </c>
      <c r="B29" s="192"/>
      <c r="C29" s="192"/>
      <c r="D29" s="193"/>
      <c r="F29" s="183" t="s">
        <v>52</v>
      </c>
      <c r="G29" s="184"/>
      <c r="H29" s="185"/>
      <c r="I29" s="18"/>
      <c r="J29" s="18"/>
      <c r="K29" s="18"/>
      <c r="L29" s="18"/>
      <c r="M29" s="19"/>
      <c r="N29" s="20"/>
    </row>
    <row r="30" spans="1:14" s="41" customFormat="1" ht="12.75" customHeight="1" x14ac:dyDescent="0.25">
      <c r="A30" s="21" t="s">
        <v>21</v>
      </c>
      <c r="B30" s="22" t="s">
        <v>22</v>
      </c>
      <c r="C30" s="22" t="s">
        <v>23</v>
      </c>
      <c r="D30" s="23" t="s">
        <v>25</v>
      </c>
      <c r="F30" s="186"/>
      <c r="G30" s="187"/>
      <c r="H30" s="188"/>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31"/>
      <c r="J44" s="29"/>
      <c r="K44" s="29"/>
      <c r="L44" s="131"/>
      <c r="M44" s="30"/>
      <c r="N44" s="16"/>
    </row>
    <row r="45" spans="1:14" x14ac:dyDescent="0.3">
      <c r="A45" s="106"/>
      <c r="B45" s="107"/>
      <c r="C45" s="107"/>
      <c r="D45" s="114"/>
      <c r="F45" s="103"/>
      <c r="G45" s="104"/>
      <c r="H45" s="109"/>
      <c r="I45" s="131"/>
      <c r="J45" s="29"/>
      <c r="K45" s="29"/>
      <c r="L45" s="131"/>
      <c r="M45" s="30"/>
      <c r="N45" s="16"/>
    </row>
    <row r="46" spans="1:14" s="34" customFormat="1" x14ac:dyDescent="0.3">
      <c r="A46" s="178" t="s">
        <v>54</v>
      </c>
      <c r="B46" s="179"/>
      <c r="C46" s="179"/>
      <c r="D46" s="96">
        <f>SUM(Tree_89[Amount])</f>
        <v>0</v>
      </c>
      <c r="F46" s="173" t="s">
        <v>33</v>
      </c>
      <c r="G46" s="174"/>
      <c r="H46" s="174"/>
      <c r="I46" s="43"/>
      <c r="J46" s="43"/>
      <c r="K46" s="43"/>
      <c r="L46" s="43"/>
      <c r="M46" s="36"/>
      <c r="N46" s="37"/>
    </row>
    <row r="47" spans="1:14" s="40" customFormat="1" ht="11.1" customHeight="1" x14ac:dyDescent="0.3">
      <c r="A47" s="38"/>
      <c r="B47" s="38"/>
      <c r="C47" s="38"/>
      <c r="D47" s="39"/>
      <c r="F47" s="173"/>
      <c r="G47" s="174"/>
      <c r="H47" s="174"/>
      <c r="I47" s="43"/>
      <c r="J47" s="43"/>
      <c r="K47" s="43"/>
      <c r="L47" s="43"/>
      <c r="M47" s="36"/>
      <c r="N47" s="37"/>
    </row>
    <row r="48" spans="1:14" s="17" customFormat="1" ht="23.1" customHeight="1" x14ac:dyDescent="0.3">
      <c r="A48" s="191" t="s">
        <v>68</v>
      </c>
      <c r="B48" s="192"/>
      <c r="C48" s="192"/>
      <c r="D48" s="193"/>
      <c r="F48" s="183" t="s">
        <v>55</v>
      </c>
      <c r="G48" s="184"/>
      <c r="H48" s="185"/>
      <c r="I48" s="44"/>
      <c r="J48" s="44"/>
      <c r="K48" s="44"/>
      <c r="L48" s="44"/>
      <c r="M48" s="19"/>
      <c r="N48" s="20"/>
    </row>
    <row r="49" spans="1:14" s="41" customFormat="1" ht="12.75" customHeight="1" x14ac:dyDescent="0.25">
      <c r="A49" s="21" t="s">
        <v>21</v>
      </c>
      <c r="B49" s="22" t="s">
        <v>22</v>
      </c>
      <c r="C49" s="22" t="s">
        <v>23</v>
      </c>
      <c r="D49" s="23" t="s">
        <v>25</v>
      </c>
      <c r="F49" s="186"/>
      <c r="G49" s="187"/>
      <c r="H49" s="188"/>
      <c r="I49" s="131"/>
      <c r="J49" s="131"/>
      <c r="K49" s="131"/>
      <c r="L49" s="131"/>
      <c r="M49" s="30"/>
      <c r="N49" s="42"/>
    </row>
    <row r="50" spans="1:14" x14ac:dyDescent="0.3">
      <c r="A50" s="100"/>
      <c r="B50" s="101"/>
      <c r="C50" s="101"/>
      <c r="D50" s="112"/>
      <c r="F50" s="103"/>
      <c r="G50" s="104"/>
      <c r="H50" s="109"/>
      <c r="I50" s="131"/>
      <c r="J50" s="131"/>
      <c r="K50" s="131"/>
      <c r="L50" s="131"/>
      <c r="M50" s="30"/>
      <c r="N50" s="16"/>
    </row>
    <row r="51" spans="1:14" x14ac:dyDescent="0.3">
      <c r="A51" s="106"/>
      <c r="B51" s="107"/>
      <c r="C51" s="107"/>
      <c r="D51" s="113"/>
      <c r="F51" s="103"/>
      <c r="G51" s="104"/>
      <c r="H51" s="109"/>
      <c r="I51" s="131"/>
      <c r="J51" s="131"/>
      <c r="K51" s="131"/>
      <c r="L51" s="131"/>
      <c r="M51" s="30"/>
      <c r="N51" s="16"/>
    </row>
    <row r="52" spans="1:14" x14ac:dyDescent="0.3">
      <c r="A52" s="106"/>
      <c r="B52" s="107"/>
      <c r="C52" s="107"/>
      <c r="D52" s="114"/>
      <c r="F52" s="103"/>
      <c r="H52" s="109"/>
      <c r="I52" s="131"/>
      <c r="J52" s="131"/>
      <c r="K52" s="131"/>
      <c r="L52" s="131"/>
      <c r="M52" s="30"/>
      <c r="N52" s="16"/>
    </row>
    <row r="53" spans="1:14" x14ac:dyDescent="0.3">
      <c r="A53" s="106"/>
      <c r="B53" s="107"/>
      <c r="C53" s="107"/>
      <c r="D53" s="113"/>
      <c r="F53" s="103"/>
      <c r="G53" s="104"/>
      <c r="H53" s="109"/>
      <c r="I53" s="131"/>
      <c r="J53" s="131"/>
      <c r="K53" s="131"/>
      <c r="L53" s="131"/>
      <c r="M53" s="30"/>
      <c r="N53" s="16"/>
    </row>
    <row r="54" spans="1:14" x14ac:dyDescent="0.3">
      <c r="A54" s="106"/>
      <c r="B54" s="107"/>
      <c r="C54" s="107"/>
      <c r="D54" s="114"/>
      <c r="F54" s="103"/>
      <c r="G54" s="104"/>
      <c r="H54" s="109"/>
      <c r="I54" s="131"/>
      <c r="J54" s="131"/>
      <c r="K54" s="131"/>
      <c r="L54" s="131"/>
      <c r="M54" s="30"/>
      <c r="N54" s="16"/>
    </row>
    <row r="55" spans="1:14" x14ac:dyDescent="0.3">
      <c r="A55" s="106"/>
      <c r="B55" s="107"/>
      <c r="C55" s="107"/>
      <c r="D55" s="113"/>
      <c r="F55" s="103"/>
      <c r="G55" s="104"/>
      <c r="H55" s="109"/>
      <c r="I55" s="131"/>
      <c r="J55" s="131"/>
      <c r="K55" s="131"/>
      <c r="L55" s="131"/>
      <c r="M55" s="30"/>
      <c r="N55" s="16"/>
    </row>
    <row r="56" spans="1:14" x14ac:dyDescent="0.3">
      <c r="A56" s="106"/>
      <c r="B56" s="107"/>
      <c r="C56" s="107"/>
      <c r="D56" s="114"/>
      <c r="F56" s="103"/>
      <c r="G56" s="104"/>
      <c r="H56" s="109"/>
      <c r="I56" s="131"/>
      <c r="J56" s="131"/>
      <c r="K56" s="131"/>
      <c r="L56" s="131"/>
      <c r="M56" s="30"/>
      <c r="N56" s="16"/>
    </row>
    <row r="57" spans="1:14" x14ac:dyDescent="0.3">
      <c r="A57" s="106"/>
      <c r="B57" s="107"/>
      <c r="C57" s="107"/>
      <c r="D57" s="113"/>
      <c r="F57" s="103"/>
      <c r="G57" s="104"/>
      <c r="H57" s="109"/>
      <c r="I57" s="131"/>
      <c r="J57" s="131"/>
      <c r="K57" s="131"/>
      <c r="L57" s="131"/>
      <c r="M57" s="30"/>
      <c r="N57" s="16"/>
    </row>
    <row r="58" spans="1:14" x14ac:dyDescent="0.3">
      <c r="A58" s="106"/>
      <c r="B58" s="107"/>
      <c r="C58" s="107"/>
      <c r="D58" s="114"/>
      <c r="F58" s="103"/>
      <c r="G58" s="104"/>
      <c r="H58" s="109"/>
      <c r="I58" s="131"/>
      <c r="J58" s="131"/>
      <c r="K58" s="131"/>
      <c r="L58" s="131"/>
      <c r="M58" s="30"/>
      <c r="N58" s="16"/>
    </row>
    <row r="59" spans="1:14" x14ac:dyDescent="0.3">
      <c r="A59" s="106"/>
      <c r="B59" s="107"/>
      <c r="C59" s="107"/>
      <c r="D59" s="113"/>
      <c r="F59" s="103"/>
      <c r="G59" s="104"/>
      <c r="H59" s="109"/>
      <c r="I59" s="131"/>
      <c r="J59" s="190"/>
      <c r="K59" s="190"/>
      <c r="L59" s="131"/>
      <c r="M59" s="30"/>
      <c r="N59" s="16"/>
    </row>
    <row r="60" spans="1:14" x14ac:dyDescent="0.3">
      <c r="A60" s="106"/>
      <c r="B60" s="107"/>
      <c r="C60" s="107"/>
      <c r="D60" s="114"/>
      <c r="F60" s="103"/>
      <c r="G60" s="104"/>
      <c r="H60" s="109"/>
      <c r="I60" s="189"/>
      <c r="J60" s="189"/>
      <c r="K60" s="189"/>
      <c r="L60" s="189"/>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78" t="s">
        <v>56</v>
      </c>
      <c r="B65" s="179"/>
      <c r="C65" s="179"/>
      <c r="D65" s="96">
        <f>SUM(Pest_89[Amount])</f>
        <v>0</v>
      </c>
      <c r="F65" s="173" t="s">
        <v>33</v>
      </c>
      <c r="G65" s="174"/>
      <c r="H65" s="174"/>
    </row>
    <row r="66" spans="1:8" x14ac:dyDescent="0.3">
      <c r="F66" s="173"/>
      <c r="G66" s="174"/>
      <c r="H66" s="174"/>
    </row>
    <row r="67" spans="1:8" ht="17.399999999999999" x14ac:dyDescent="0.3">
      <c r="A67" s="198" t="s">
        <v>69</v>
      </c>
      <c r="B67" s="198"/>
      <c r="C67" s="198"/>
      <c r="D67" s="198"/>
      <c r="E67" s="17"/>
      <c r="F67" s="183" t="s">
        <v>57</v>
      </c>
      <c r="G67" s="184"/>
      <c r="H67" s="185"/>
    </row>
    <row r="68" spans="1:8" x14ac:dyDescent="0.3">
      <c r="A68" s="21" t="s">
        <v>21</v>
      </c>
      <c r="B68" s="22" t="s">
        <v>22</v>
      </c>
      <c r="C68" s="22" t="s">
        <v>23</v>
      </c>
      <c r="D68" s="23" t="s">
        <v>25</v>
      </c>
      <c r="E68" s="24"/>
      <c r="F68" s="186"/>
      <c r="G68" s="187"/>
      <c r="H68" s="188"/>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78" t="s">
        <v>58</v>
      </c>
      <c r="B84" s="179"/>
      <c r="C84" s="179"/>
      <c r="D84" s="96">
        <f>SUM(Garbage_89[Amount])</f>
        <v>0</v>
      </c>
      <c r="E84" s="34"/>
      <c r="F84" s="173" t="s">
        <v>33</v>
      </c>
      <c r="G84" s="174"/>
      <c r="H84" s="174"/>
    </row>
    <row r="85" spans="1:8" x14ac:dyDescent="0.3">
      <c r="A85" s="38"/>
      <c r="B85" s="38"/>
      <c r="C85" s="38"/>
      <c r="D85" s="39"/>
      <c r="E85" s="40"/>
      <c r="F85" s="173"/>
      <c r="G85" s="174"/>
      <c r="H85" s="174"/>
    </row>
    <row r="86" spans="1:8" ht="17.399999999999999" x14ac:dyDescent="0.3">
      <c r="A86" s="191" t="s">
        <v>59</v>
      </c>
      <c r="B86" s="192"/>
      <c r="C86" s="192"/>
      <c r="D86" s="193"/>
      <c r="E86" s="17"/>
      <c r="F86" s="183" t="s">
        <v>60</v>
      </c>
      <c r="G86" s="184"/>
      <c r="H86" s="185"/>
    </row>
    <row r="87" spans="1:8" x14ac:dyDescent="0.3">
      <c r="A87" s="21" t="s">
        <v>21</v>
      </c>
      <c r="B87" s="22" t="s">
        <v>22</v>
      </c>
      <c r="C87" s="22" t="s">
        <v>23</v>
      </c>
      <c r="D87" s="23" t="s">
        <v>25</v>
      </c>
      <c r="E87" s="41"/>
      <c r="F87" s="186"/>
      <c r="G87" s="187"/>
      <c r="H87" s="188"/>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78" t="s">
        <v>61</v>
      </c>
      <c r="B103" s="179"/>
      <c r="C103" s="179"/>
      <c r="D103" s="96">
        <f>SUM(Boarding_89[Amount])</f>
        <v>0</v>
      </c>
      <c r="E103" s="34"/>
      <c r="F103" s="173" t="s">
        <v>33</v>
      </c>
      <c r="G103" s="174"/>
      <c r="H103" s="174"/>
    </row>
    <row r="104" spans="1:8" x14ac:dyDescent="0.3">
      <c r="A104" s="38"/>
      <c r="B104" s="38"/>
      <c r="C104" s="38"/>
      <c r="D104" s="39"/>
      <c r="E104" s="40"/>
      <c r="F104" s="173"/>
      <c r="G104" s="174"/>
      <c r="H104" s="174"/>
    </row>
    <row r="105" spans="1:8" ht="17.399999999999999" x14ac:dyDescent="0.3">
      <c r="A105" s="191" t="s">
        <v>70</v>
      </c>
      <c r="B105" s="192"/>
      <c r="C105" s="192"/>
      <c r="D105" s="193"/>
      <c r="E105" s="17"/>
      <c r="F105" s="183" t="s">
        <v>62</v>
      </c>
      <c r="G105" s="184"/>
      <c r="H105" s="185"/>
    </row>
    <row r="106" spans="1:8" x14ac:dyDescent="0.3">
      <c r="A106" s="21" t="s">
        <v>21</v>
      </c>
      <c r="B106" s="22" t="s">
        <v>22</v>
      </c>
      <c r="C106" s="22" t="s">
        <v>23</v>
      </c>
      <c r="D106" s="23" t="s">
        <v>25</v>
      </c>
      <c r="E106" s="41"/>
      <c r="F106" s="186"/>
      <c r="G106" s="187"/>
      <c r="H106" s="188"/>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78" t="s">
        <v>63</v>
      </c>
      <c r="B122" s="179"/>
      <c r="C122" s="179"/>
      <c r="D122" s="96">
        <f>SUM(Fence_89[Amount])</f>
        <v>0</v>
      </c>
      <c r="E122" s="34"/>
      <c r="F122" s="173" t="s">
        <v>33</v>
      </c>
      <c r="G122" s="174"/>
      <c r="H122" s="174"/>
    </row>
    <row r="123" spans="1:8" x14ac:dyDescent="0.3">
      <c r="F123" s="173"/>
      <c r="G123" s="174"/>
      <c r="H123" s="174"/>
    </row>
    <row r="124" spans="1:8" ht="17.399999999999999" x14ac:dyDescent="0.3">
      <c r="A124" s="191" t="s">
        <v>26</v>
      </c>
      <c r="B124" s="192"/>
      <c r="C124" s="192"/>
      <c r="D124" s="193"/>
      <c r="E124" s="17"/>
      <c r="F124" s="183" t="s">
        <v>11</v>
      </c>
      <c r="G124" s="184"/>
      <c r="H124" s="185"/>
    </row>
    <row r="125" spans="1:8" x14ac:dyDescent="0.3">
      <c r="A125" s="21" t="s">
        <v>21</v>
      </c>
      <c r="B125" s="22" t="s">
        <v>22</v>
      </c>
      <c r="C125" s="22" t="s">
        <v>23</v>
      </c>
      <c r="D125" s="23" t="s">
        <v>25</v>
      </c>
      <c r="E125" s="41"/>
      <c r="F125" s="186"/>
      <c r="G125" s="187"/>
      <c r="H125" s="188"/>
    </row>
    <row r="126" spans="1:8" x14ac:dyDescent="0.3">
      <c r="A126" s="100"/>
      <c r="B126" s="101"/>
      <c r="C126" s="101"/>
      <c r="D126" s="112">
        <v>14310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78" t="s">
        <v>27</v>
      </c>
      <c r="B141" s="179"/>
      <c r="C141" s="179"/>
      <c r="D141" s="96">
        <f>SUM(Demolition_89[Amount])</f>
        <v>14310</v>
      </c>
      <c r="E141" s="34"/>
      <c r="F141" s="173" t="s">
        <v>33</v>
      </c>
      <c r="G141" s="174"/>
      <c r="H141" s="174"/>
    </row>
    <row r="142" spans="1:8" x14ac:dyDescent="0.3">
      <c r="A142" s="38"/>
      <c r="B142" s="38"/>
      <c r="C142" s="38"/>
      <c r="D142" s="39"/>
      <c r="E142" s="40"/>
      <c r="F142" s="173"/>
      <c r="G142" s="174"/>
      <c r="H142" s="174"/>
    </row>
    <row r="143" spans="1:8" ht="17.399999999999999" x14ac:dyDescent="0.3">
      <c r="A143" s="191" t="s">
        <v>64</v>
      </c>
      <c r="B143" s="192"/>
      <c r="C143" s="192"/>
      <c r="D143" s="193"/>
      <c r="E143" s="17"/>
      <c r="F143" s="183" t="s">
        <v>44</v>
      </c>
      <c r="G143" s="184"/>
      <c r="H143" s="185"/>
    </row>
    <row r="144" spans="1:8" x14ac:dyDescent="0.3">
      <c r="A144" s="21" t="s">
        <v>21</v>
      </c>
      <c r="B144" s="22" t="s">
        <v>22</v>
      </c>
      <c r="C144" s="22" t="s">
        <v>23</v>
      </c>
      <c r="D144" s="23" t="s">
        <v>25</v>
      </c>
      <c r="E144" s="41"/>
      <c r="F144" s="186"/>
      <c r="G144" s="187"/>
      <c r="H144" s="188"/>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78" t="s">
        <v>65</v>
      </c>
      <c r="B160" s="179"/>
      <c r="C160" s="179"/>
      <c r="D160" s="96">
        <f>SUM(Rehab_89[Amount])</f>
        <v>0</v>
      </c>
      <c r="E160" s="34"/>
      <c r="F160" s="173" t="s">
        <v>33</v>
      </c>
      <c r="G160" s="174"/>
      <c r="H160" s="174"/>
    </row>
    <row r="161" spans="6:8" x14ac:dyDescent="0.3">
      <c r="F161" s="173"/>
      <c r="G161" s="174"/>
      <c r="H161" s="174"/>
    </row>
  </sheetData>
  <sheetProtection algorithmName="SHA-512" hashValue="hTSkl1k2F0eaf4SnGO/grl/473xzPyR3pTR6wPDcGAu6tK8Zutld8rsNS4lofdVEs6Sg9lfTdDigdPIVhtEk0Q==" saltValue="Z+UwD+RashxkjCM8SjfTog=="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61"/>
  <sheetViews>
    <sheetView showGridLines="0" zoomScaleNormal="100" workbookViewId="0">
      <pane ySplit="9" topLeftCell="A121"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5" t="s">
        <v>24</v>
      </c>
      <c r="B1" s="175"/>
      <c r="C1" s="175"/>
      <c r="D1" s="175"/>
      <c r="E1" s="1"/>
      <c r="F1" s="2"/>
      <c r="G1" s="2"/>
      <c r="H1" s="1"/>
    </row>
    <row r="2" spans="1:14" ht="24.9" customHeight="1" x14ac:dyDescent="0.3">
      <c r="A2" s="176" t="s">
        <v>71</v>
      </c>
      <c r="B2" s="176"/>
      <c r="C2" s="176"/>
      <c r="D2" s="176"/>
      <c r="E2" s="4"/>
      <c r="F2" s="130"/>
      <c r="G2" s="130"/>
      <c r="H2" s="5"/>
    </row>
    <row r="3" spans="1:14" ht="31.5" customHeight="1" x14ac:dyDescent="0.3">
      <c r="A3" s="176"/>
      <c r="B3" s="176"/>
      <c r="C3" s="176"/>
      <c r="D3" s="176"/>
      <c r="E3" s="4"/>
      <c r="F3" s="130"/>
      <c r="G3" s="130"/>
      <c r="H3" s="5"/>
    </row>
    <row r="4" spans="1:14" ht="15" customHeight="1" x14ac:dyDescent="0.25">
      <c r="A4" s="75" t="s">
        <v>19</v>
      </c>
      <c r="B4" s="194" t="str">
        <f>IF('Summary Sheet'!B122="","",'Summary Sheet'!B122)</f>
        <v>3744 S MICHIGAN AVE</v>
      </c>
      <c r="C4" s="194"/>
      <c r="D4" s="130"/>
      <c r="E4" s="4"/>
      <c r="F4" s="130"/>
      <c r="G4" s="130"/>
      <c r="H4" s="5"/>
    </row>
    <row r="5" spans="1:14" ht="15" customHeight="1" x14ac:dyDescent="0.25">
      <c r="A5" s="75" t="s">
        <v>20</v>
      </c>
      <c r="B5" s="195" t="str">
        <f>IF('Summary Sheet'!C122="","",'Summary Sheet'!C122)</f>
        <v/>
      </c>
      <c r="C5" s="195"/>
      <c r="D5" s="130"/>
      <c r="E5" s="4"/>
      <c r="F5" s="130"/>
      <c r="G5" s="130"/>
      <c r="H5" s="5"/>
    </row>
    <row r="6" spans="1:14" ht="15" customHeight="1" x14ac:dyDescent="0.25">
      <c r="A6" s="75" t="s">
        <v>36</v>
      </c>
      <c r="B6" s="177"/>
      <c r="C6" s="177"/>
      <c r="D6" s="6"/>
      <c r="E6" s="7"/>
    </row>
    <row r="7" spans="1:14" ht="15" customHeight="1" x14ac:dyDescent="0.25">
      <c r="A7" s="7"/>
      <c r="B7" s="196" t="s">
        <v>34</v>
      </c>
      <c r="C7" s="196"/>
      <c r="D7" s="10"/>
    </row>
    <row r="8" spans="1:14" ht="20.100000000000001" customHeight="1" x14ac:dyDescent="0.25">
      <c r="B8" s="11"/>
      <c r="C8" s="11"/>
      <c r="D8" s="12" t="s">
        <v>31</v>
      </c>
      <c r="F8" s="180" t="s">
        <v>32</v>
      </c>
      <c r="G8" s="181"/>
      <c r="H8" s="182"/>
    </row>
    <row r="9" spans="1:14" s="14" customFormat="1" ht="20.100000000000001" customHeight="1" x14ac:dyDescent="0.25">
      <c r="A9" s="197"/>
      <c r="B9" s="197"/>
      <c r="C9" s="197"/>
      <c r="D9" s="13">
        <f>SUM(D27,D46,D65,D84,D103,D122,D141,D160)</f>
        <v>19500</v>
      </c>
      <c r="F9" s="15" t="s">
        <v>28</v>
      </c>
      <c r="G9" s="15" t="s">
        <v>29</v>
      </c>
      <c r="H9" s="15" t="s">
        <v>30</v>
      </c>
      <c r="I9" s="16"/>
      <c r="J9" s="16"/>
      <c r="K9" s="16"/>
      <c r="L9" s="16"/>
      <c r="M9" s="16"/>
      <c r="N9" s="16"/>
    </row>
    <row r="10" spans="1:14" s="17" customFormat="1" ht="23.1" customHeight="1" x14ac:dyDescent="0.3">
      <c r="A10" s="198" t="s">
        <v>51</v>
      </c>
      <c r="B10" s="198"/>
      <c r="C10" s="198"/>
      <c r="D10" s="198"/>
      <c r="F10" s="183" t="s">
        <v>66</v>
      </c>
      <c r="G10" s="184"/>
      <c r="H10" s="185"/>
      <c r="I10" s="18"/>
      <c r="J10" s="18"/>
      <c r="K10" s="18"/>
      <c r="L10" s="18"/>
      <c r="M10" s="19"/>
      <c r="N10" s="20"/>
    </row>
    <row r="11" spans="1:14" s="24" customFormat="1" ht="12.75" customHeight="1" x14ac:dyDescent="0.25">
      <c r="A11" s="21" t="s">
        <v>21</v>
      </c>
      <c r="B11" s="22" t="s">
        <v>22</v>
      </c>
      <c r="C11" s="22" t="s">
        <v>23</v>
      </c>
      <c r="D11" s="23" t="s">
        <v>25</v>
      </c>
      <c r="F11" s="186"/>
      <c r="G11" s="187"/>
      <c r="H11" s="188"/>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78" t="s">
        <v>53</v>
      </c>
      <c r="B27" s="179"/>
      <c r="C27" s="179"/>
      <c r="D27" s="96">
        <f>SUM(Grass_90[Amount])</f>
        <v>0</v>
      </c>
      <c r="F27" s="173" t="s">
        <v>33</v>
      </c>
      <c r="G27" s="174"/>
      <c r="H27" s="174"/>
      <c r="I27" s="35"/>
      <c r="J27" s="35"/>
      <c r="K27" s="35"/>
      <c r="L27" s="35"/>
      <c r="M27" s="36"/>
      <c r="N27" s="37"/>
    </row>
    <row r="28" spans="1:14" s="40" customFormat="1" ht="11.1" customHeight="1" x14ac:dyDescent="0.3">
      <c r="A28" s="38"/>
      <c r="B28" s="38"/>
      <c r="C28" s="38"/>
      <c r="D28" s="39"/>
      <c r="F28" s="173"/>
      <c r="G28" s="174"/>
      <c r="H28" s="174"/>
      <c r="I28" s="35"/>
      <c r="J28" s="35"/>
      <c r="K28" s="35"/>
      <c r="L28" s="35"/>
      <c r="M28" s="36"/>
      <c r="N28" s="37"/>
    </row>
    <row r="29" spans="1:14" s="17" customFormat="1" ht="23.1" customHeight="1" x14ac:dyDescent="0.3">
      <c r="A29" s="191" t="s">
        <v>67</v>
      </c>
      <c r="B29" s="192"/>
      <c r="C29" s="192"/>
      <c r="D29" s="193"/>
      <c r="F29" s="183" t="s">
        <v>52</v>
      </c>
      <c r="G29" s="184"/>
      <c r="H29" s="185"/>
      <c r="I29" s="18"/>
      <c r="J29" s="18"/>
      <c r="K29" s="18"/>
      <c r="L29" s="18"/>
      <c r="M29" s="19"/>
      <c r="N29" s="20"/>
    </row>
    <row r="30" spans="1:14" s="41" customFormat="1" ht="12.75" customHeight="1" x14ac:dyDescent="0.25">
      <c r="A30" s="21" t="s">
        <v>21</v>
      </c>
      <c r="B30" s="22" t="s">
        <v>22</v>
      </c>
      <c r="C30" s="22" t="s">
        <v>23</v>
      </c>
      <c r="D30" s="23" t="s">
        <v>25</v>
      </c>
      <c r="F30" s="186"/>
      <c r="G30" s="187"/>
      <c r="H30" s="188"/>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31"/>
      <c r="J44" s="29"/>
      <c r="K44" s="29"/>
      <c r="L44" s="131"/>
      <c r="M44" s="30"/>
      <c r="N44" s="16"/>
    </row>
    <row r="45" spans="1:14" x14ac:dyDescent="0.3">
      <c r="A45" s="106"/>
      <c r="B45" s="107"/>
      <c r="C45" s="107"/>
      <c r="D45" s="114"/>
      <c r="F45" s="103"/>
      <c r="G45" s="104"/>
      <c r="H45" s="109"/>
      <c r="I45" s="131"/>
      <c r="J45" s="29"/>
      <c r="K45" s="29"/>
      <c r="L45" s="131"/>
      <c r="M45" s="30"/>
      <c r="N45" s="16"/>
    </row>
    <row r="46" spans="1:14" s="34" customFormat="1" x14ac:dyDescent="0.3">
      <c r="A46" s="178" t="s">
        <v>54</v>
      </c>
      <c r="B46" s="179"/>
      <c r="C46" s="179"/>
      <c r="D46" s="96">
        <f>SUM(Tree_90[Amount])</f>
        <v>0</v>
      </c>
      <c r="F46" s="173" t="s">
        <v>33</v>
      </c>
      <c r="G46" s="174"/>
      <c r="H46" s="174"/>
      <c r="I46" s="43"/>
      <c r="J46" s="43"/>
      <c r="K46" s="43"/>
      <c r="L46" s="43"/>
      <c r="M46" s="36"/>
      <c r="N46" s="37"/>
    </row>
    <row r="47" spans="1:14" s="40" customFormat="1" ht="11.1" customHeight="1" x14ac:dyDescent="0.3">
      <c r="A47" s="38"/>
      <c r="B47" s="38"/>
      <c r="C47" s="38"/>
      <c r="D47" s="39"/>
      <c r="F47" s="173"/>
      <c r="G47" s="174"/>
      <c r="H47" s="174"/>
      <c r="I47" s="43"/>
      <c r="J47" s="43"/>
      <c r="K47" s="43"/>
      <c r="L47" s="43"/>
      <c r="M47" s="36"/>
      <c r="N47" s="37"/>
    </row>
    <row r="48" spans="1:14" s="17" customFormat="1" ht="23.1" customHeight="1" x14ac:dyDescent="0.3">
      <c r="A48" s="191" t="s">
        <v>68</v>
      </c>
      <c r="B48" s="192"/>
      <c r="C48" s="192"/>
      <c r="D48" s="193"/>
      <c r="F48" s="183" t="s">
        <v>55</v>
      </c>
      <c r="G48" s="184"/>
      <c r="H48" s="185"/>
      <c r="I48" s="44"/>
      <c r="J48" s="44"/>
      <c r="K48" s="44"/>
      <c r="L48" s="44"/>
      <c r="M48" s="19"/>
      <c r="N48" s="20"/>
    </row>
    <row r="49" spans="1:14" s="41" customFormat="1" ht="12.75" customHeight="1" x14ac:dyDescent="0.25">
      <c r="A49" s="21" t="s">
        <v>21</v>
      </c>
      <c r="B49" s="22" t="s">
        <v>22</v>
      </c>
      <c r="C49" s="22" t="s">
        <v>23</v>
      </c>
      <c r="D49" s="23" t="s">
        <v>25</v>
      </c>
      <c r="F49" s="186"/>
      <c r="G49" s="187"/>
      <c r="H49" s="188"/>
      <c r="I49" s="131"/>
      <c r="J49" s="131"/>
      <c r="K49" s="131"/>
      <c r="L49" s="131"/>
      <c r="M49" s="30"/>
      <c r="N49" s="42"/>
    </row>
    <row r="50" spans="1:14" x14ac:dyDescent="0.3">
      <c r="A50" s="100"/>
      <c r="B50" s="101"/>
      <c r="C50" s="101"/>
      <c r="D50" s="112"/>
      <c r="F50" s="103"/>
      <c r="G50" s="104"/>
      <c r="H50" s="109"/>
      <c r="I50" s="131"/>
      <c r="J50" s="131"/>
      <c r="K50" s="131"/>
      <c r="L50" s="131"/>
      <c r="M50" s="30"/>
      <c r="N50" s="16"/>
    </row>
    <row r="51" spans="1:14" x14ac:dyDescent="0.3">
      <c r="A51" s="106"/>
      <c r="B51" s="107"/>
      <c r="C51" s="107"/>
      <c r="D51" s="113"/>
      <c r="F51" s="103"/>
      <c r="G51" s="104"/>
      <c r="H51" s="109"/>
      <c r="I51" s="131"/>
      <c r="J51" s="131"/>
      <c r="K51" s="131"/>
      <c r="L51" s="131"/>
      <c r="M51" s="30"/>
      <c r="N51" s="16"/>
    </row>
    <row r="52" spans="1:14" x14ac:dyDescent="0.3">
      <c r="A52" s="106"/>
      <c r="B52" s="107"/>
      <c r="C52" s="107"/>
      <c r="D52" s="114"/>
      <c r="F52" s="103"/>
      <c r="H52" s="109"/>
      <c r="I52" s="131"/>
      <c r="J52" s="131"/>
      <c r="K52" s="131"/>
      <c r="L52" s="131"/>
      <c r="M52" s="30"/>
      <c r="N52" s="16"/>
    </row>
    <row r="53" spans="1:14" x14ac:dyDescent="0.3">
      <c r="A53" s="106"/>
      <c r="B53" s="107"/>
      <c r="C53" s="107"/>
      <c r="D53" s="113"/>
      <c r="F53" s="103"/>
      <c r="G53" s="104"/>
      <c r="H53" s="109"/>
      <c r="I53" s="131"/>
      <c r="J53" s="131"/>
      <c r="K53" s="131"/>
      <c r="L53" s="131"/>
      <c r="M53" s="30"/>
      <c r="N53" s="16"/>
    </row>
    <row r="54" spans="1:14" x14ac:dyDescent="0.3">
      <c r="A54" s="106"/>
      <c r="B54" s="107"/>
      <c r="C54" s="107"/>
      <c r="D54" s="114"/>
      <c r="F54" s="103"/>
      <c r="G54" s="104"/>
      <c r="H54" s="109"/>
      <c r="I54" s="131"/>
      <c r="J54" s="131"/>
      <c r="K54" s="131"/>
      <c r="L54" s="131"/>
      <c r="M54" s="30"/>
      <c r="N54" s="16"/>
    </row>
    <row r="55" spans="1:14" x14ac:dyDescent="0.3">
      <c r="A55" s="106"/>
      <c r="B55" s="107"/>
      <c r="C55" s="107"/>
      <c r="D55" s="113"/>
      <c r="F55" s="103"/>
      <c r="G55" s="104"/>
      <c r="H55" s="109"/>
      <c r="I55" s="131"/>
      <c r="J55" s="131"/>
      <c r="K55" s="131"/>
      <c r="L55" s="131"/>
      <c r="M55" s="30"/>
      <c r="N55" s="16"/>
    </row>
    <row r="56" spans="1:14" x14ac:dyDescent="0.3">
      <c r="A56" s="106"/>
      <c r="B56" s="107"/>
      <c r="C56" s="107"/>
      <c r="D56" s="114"/>
      <c r="F56" s="103"/>
      <c r="G56" s="104"/>
      <c r="H56" s="109"/>
      <c r="I56" s="131"/>
      <c r="J56" s="131"/>
      <c r="K56" s="131"/>
      <c r="L56" s="131"/>
      <c r="M56" s="30"/>
      <c r="N56" s="16"/>
    </row>
    <row r="57" spans="1:14" x14ac:dyDescent="0.3">
      <c r="A57" s="106"/>
      <c r="B57" s="107"/>
      <c r="C57" s="107"/>
      <c r="D57" s="113"/>
      <c r="F57" s="103"/>
      <c r="G57" s="104"/>
      <c r="H57" s="109"/>
      <c r="I57" s="131"/>
      <c r="J57" s="131"/>
      <c r="K57" s="131"/>
      <c r="L57" s="131"/>
      <c r="M57" s="30"/>
      <c r="N57" s="16"/>
    </row>
    <row r="58" spans="1:14" x14ac:dyDescent="0.3">
      <c r="A58" s="106"/>
      <c r="B58" s="107"/>
      <c r="C58" s="107"/>
      <c r="D58" s="114"/>
      <c r="F58" s="103"/>
      <c r="G58" s="104"/>
      <c r="H58" s="109"/>
      <c r="I58" s="131"/>
      <c r="J58" s="131"/>
      <c r="K58" s="131"/>
      <c r="L58" s="131"/>
      <c r="M58" s="30"/>
      <c r="N58" s="16"/>
    </row>
    <row r="59" spans="1:14" x14ac:dyDescent="0.3">
      <c r="A59" s="106"/>
      <c r="B59" s="107"/>
      <c r="C59" s="107"/>
      <c r="D59" s="113"/>
      <c r="F59" s="103"/>
      <c r="G59" s="104"/>
      <c r="H59" s="109"/>
      <c r="I59" s="131"/>
      <c r="J59" s="190"/>
      <c r="K59" s="190"/>
      <c r="L59" s="131"/>
      <c r="M59" s="30"/>
      <c r="N59" s="16"/>
    </row>
    <row r="60" spans="1:14" x14ac:dyDescent="0.3">
      <c r="A60" s="106"/>
      <c r="B60" s="107"/>
      <c r="C60" s="107"/>
      <c r="D60" s="114"/>
      <c r="F60" s="103"/>
      <c r="G60" s="104"/>
      <c r="H60" s="109"/>
      <c r="I60" s="189"/>
      <c r="J60" s="189"/>
      <c r="K60" s="189"/>
      <c r="L60" s="189"/>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78" t="s">
        <v>56</v>
      </c>
      <c r="B65" s="179"/>
      <c r="C65" s="179"/>
      <c r="D65" s="96">
        <f>SUM(Pest_90[Amount])</f>
        <v>0</v>
      </c>
      <c r="F65" s="173" t="s">
        <v>33</v>
      </c>
      <c r="G65" s="174"/>
      <c r="H65" s="174"/>
    </row>
    <row r="66" spans="1:8" x14ac:dyDescent="0.3">
      <c r="F66" s="173"/>
      <c r="G66" s="174"/>
      <c r="H66" s="174"/>
    </row>
    <row r="67" spans="1:8" ht="17.399999999999999" x14ac:dyDescent="0.3">
      <c r="A67" s="198" t="s">
        <v>69</v>
      </c>
      <c r="B67" s="198"/>
      <c r="C67" s="198"/>
      <c r="D67" s="198"/>
      <c r="E67" s="17"/>
      <c r="F67" s="183" t="s">
        <v>57</v>
      </c>
      <c r="G67" s="184"/>
      <c r="H67" s="185"/>
    </row>
    <row r="68" spans="1:8" x14ac:dyDescent="0.3">
      <c r="A68" s="21" t="s">
        <v>21</v>
      </c>
      <c r="B68" s="22" t="s">
        <v>22</v>
      </c>
      <c r="C68" s="22" t="s">
        <v>23</v>
      </c>
      <c r="D68" s="23" t="s">
        <v>25</v>
      </c>
      <c r="E68" s="24"/>
      <c r="F68" s="186"/>
      <c r="G68" s="187"/>
      <c r="H68" s="188"/>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78" t="s">
        <v>58</v>
      </c>
      <c r="B84" s="179"/>
      <c r="C84" s="179"/>
      <c r="D84" s="96">
        <f>SUM(Garbage_90[Amount])</f>
        <v>0</v>
      </c>
      <c r="E84" s="34"/>
      <c r="F84" s="173" t="s">
        <v>33</v>
      </c>
      <c r="G84" s="174"/>
      <c r="H84" s="174"/>
    </row>
    <row r="85" spans="1:8" x14ac:dyDescent="0.3">
      <c r="A85" s="38"/>
      <c r="B85" s="38"/>
      <c r="C85" s="38"/>
      <c r="D85" s="39"/>
      <c r="E85" s="40"/>
      <c r="F85" s="173"/>
      <c r="G85" s="174"/>
      <c r="H85" s="174"/>
    </row>
    <row r="86" spans="1:8" ht="17.399999999999999" x14ac:dyDescent="0.3">
      <c r="A86" s="191" t="s">
        <v>59</v>
      </c>
      <c r="B86" s="192"/>
      <c r="C86" s="192"/>
      <c r="D86" s="193"/>
      <c r="E86" s="17"/>
      <c r="F86" s="183" t="s">
        <v>60</v>
      </c>
      <c r="G86" s="184"/>
      <c r="H86" s="185"/>
    </row>
    <row r="87" spans="1:8" x14ac:dyDescent="0.3">
      <c r="A87" s="21" t="s">
        <v>21</v>
      </c>
      <c r="B87" s="22" t="s">
        <v>22</v>
      </c>
      <c r="C87" s="22" t="s">
        <v>23</v>
      </c>
      <c r="D87" s="23" t="s">
        <v>25</v>
      </c>
      <c r="E87" s="41"/>
      <c r="F87" s="186"/>
      <c r="G87" s="187"/>
      <c r="H87" s="188"/>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78" t="s">
        <v>61</v>
      </c>
      <c r="B103" s="179"/>
      <c r="C103" s="179"/>
      <c r="D103" s="96">
        <f>SUM(Boarding_90[Amount])</f>
        <v>0</v>
      </c>
      <c r="E103" s="34"/>
      <c r="F103" s="173" t="s">
        <v>33</v>
      </c>
      <c r="G103" s="174"/>
      <c r="H103" s="174"/>
    </row>
    <row r="104" spans="1:8" x14ac:dyDescent="0.3">
      <c r="A104" s="38"/>
      <c r="B104" s="38"/>
      <c r="C104" s="38"/>
      <c r="D104" s="39"/>
      <c r="E104" s="40"/>
      <c r="F104" s="173"/>
      <c r="G104" s="174"/>
      <c r="H104" s="174"/>
    </row>
    <row r="105" spans="1:8" ht="17.399999999999999" x14ac:dyDescent="0.3">
      <c r="A105" s="191" t="s">
        <v>70</v>
      </c>
      <c r="B105" s="192"/>
      <c r="C105" s="192"/>
      <c r="D105" s="193"/>
      <c r="E105" s="17"/>
      <c r="F105" s="183" t="s">
        <v>62</v>
      </c>
      <c r="G105" s="184"/>
      <c r="H105" s="185"/>
    </row>
    <row r="106" spans="1:8" x14ac:dyDescent="0.3">
      <c r="A106" s="21" t="s">
        <v>21</v>
      </c>
      <c r="B106" s="22" t="s">
        <v>22</v>
      </c>
      <c r="C106" s="22" t="s">
        <v>23</v>
      </c>
      <c r="D106" s="23" t="s">
        <v>25</v>
      </c>
      <c r="E106" s="41"/>
      <c r="F106" s="186"/>
      <c r="G106" s="187"/>
      <c r="H106" s="188"/>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78" t="s">
        <v>63</v>
      </c>
      <c r="B122" s="179"/>
      <c r="C122" s="179"/>
      <c r="D122" s="96">
        <f>SUM(Fence_90[Amount])</f>
        <v>0</v>
      </c>
      <c r="E122" s="34"/>
      <c r="F122" s="173" t="s">
        <v>33</v>
      </c>
      <c r="G122" s="174"/>
      <c r="H122" s="174"/>
    </row>
    <row r="123" spans="1:8" x14ac:dyDescent="0.3">
      <c r="F123" s="173"/>
      <c r="G123" s="174"/>
      <c r="H123" s="174"/>
    </row>
    <row r="124" spans="1:8" ht="17.399999999999999" x14ac:dyDescent="0.3">
      <c r="A124" s="191" t="s">
        <v>26</v>
      </c>
      <c r="B124" s="192"/>
      <c r="C124" s="192"/>
      <c r="D124" s="193"/>
      <c r="E124" s="17"/>
      <c r="F124" s="183" t="s">
        <v>11</v>
      </c>
      <c r="G124" s="184"/>
      <c r="H124" s="185"/>
    </row>
    <row r="125" spans="1:8" x14ac:dyDescent="0.3">
      <c r="A125" s="21" t="s">
        <v>21</v>
      </c>
      <c r="B125" s="22" t="s">
        <v>22</v>
      </c>
      <c r="C125" s="22" t="s">
        <v>23</v>
      </c>
      <c r="D125" s="23" t="s">
        <v>25</v>
      </c>
      <c r="E125" s="41"/>
      <c r="F125" s="186"/>
      <c r="G125" s="187"/>
      <c r="H125" s="188"/>
    </row>
    <row r="126" spans="1:8" x14ac:dyDescent="0.3">
      <c r="A126" s="100"/>
      <c r="B126" s="101"/>
      <c r="C126" s="101"/>
      <c r="D126" s="112">
        <v>19500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78" t="s">
        <v>27</v>
      </c>
      <c r="B141" s="179"/>
      <c r="C141" s="179"/>
      <c r="D141" s="96">
        <f>SUM(Demolition_90[Amount])</f>
        <v>19500</v>
      </c>
      <c r="E141" s="34"/>
      <c r="F141" s="173" t="s">
        <v>33</v>
      </c>
      <c r="G141" s="174"/>
      <c r="H141" s="174"/>
    </row>
    <row r="142" spans="1:8" x14ac:dyDescent="0.3">
      <c r="A142" s="38"/>
      <c r="B142" s="38"/>
      <c r="C142" s="38"/>
      <c r="D142" s="39"/>
      <c r="E142" s="40"/>
      <c r="F142" s="173"/>
      <c r="G142" s="174"/>
      <c r="H142" s="174"/>
    </row>
    <row r="143" spans="1:8" ht="17.399999999999999" x14ac:dyDescent="0.3">
      <c r="A143" s="191" t="s">
        <v>64</v>
      </c>
      <c r="B143" s="192"/>
      <c r="C143" s="192"/>
      <c r="D143" s="193"/>
      <c r="E143" s="17"/>
      <c r="F143" s="183" t="s">
        <v>44</v>
      </c>
      <c r="G143" s="184"/>
      <c r="H143" s="185"/>
    </row>
    <row r="144" spans="1:8" x14ac:dyDescent="0.3">
      <c r="A144" s="21" t="s">
        <v>21</v>
      </c>
      <c r="B144" s="22" t="s">
        <v>22</v>
      </c>
      <c r="C144" s="22" t="s">
        <v>23</v>
      </c>
      <c r="D144" s="23" t="s">
        <v>25</v>
      </c>
      <c r="E144" s="41"/>
      <c r="F144" s="186"/>
      <c r="G144" s="187"/>
      <c r="H144" s="188"/>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78" t="s">
        <v>65</v>
      </c>
      <c r="B160" s="179"/>
      <c r="C160" s="179"/>
      <c r="D160" s="96">
        <f>SUM(Rehab_90[Amount])</f>
        <v>0</v>
      </c>
      <c r="E160" s="34"/>
      <c r="F160" s="173" t="s">
        <v>33</v>
      </c>
      <c r="G160" s="174"/>
      <c r="H160" s="174"/>
    </row>
    <row r="161" spans="6:8" x14ac:dyDescent="0.3">
      <c r="F161" s="173"/>
      <c r="G161" s="174"/>
      <c r="H161" s="174"/>
    </row>
  </sheetData>
  <sheetProtection algorithmName="SHA-512" hashValue="aIlzSD7us7KBEX1gpsld30FXnWL7I71zKwvUYyytMSVZuW6ybSEPHpCS3LG/qjdxUqFnKv21Wr9Frjo5SmFYIg==" saltValue="O+3Qe7/cORk4uTJHD8P7Fg=="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61"/>
  <sheetViews>
    <sheetView showGridLines="0" zoomScaleNormal="100" workbookViewId="0">
      <pane ySplit="9" topLeftCell="A110"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5" t="s">
        <v>24</v>
      </c>
      <c r="B1" s="175"/>
      <c r="C1" s="175"/>
      <c r="D1" s="175"/>
      <c r="E1" s="1"/>
      <c r="F1" s="2"/>
      <c r="G1" s="2"/>
      <c r="H1" s="1"/>
    </row>
    <row r="2" spans="1:14" ht="24.9" customHeight="1" x14ac:dyDescent="0.3">
      <c r="A2" s="176" t="s">
        <v>71</v>
      </c>
      <c r="B2" s="176"/>
      <c r="C2" s="176"/>
      <c r="D2" s="176"/>
      <c r="E2" s="4"/>
      <c r="F2" s="130"/>
      <c r="G2" s="130"/>
      <c r="H2" s="5"/>
    </row>
    <row r="3" spans="1:14" ht="31.5" customHeight="1" x14ac:dyDescent="0.3">
      <c r="A3" s="176"/>
      <c r="B3" s="176"/>
      <c r="C3" s="176"/>
      <c r="D3" s="176"/>
      <c r="E3" s="4"/>
      <c r="F3" s="130"/>
      <c r="G3" s="130"/>
      <c r="H3" s="5"/>
    </row>
    <row r="4" spans="1:14" ht="15" customHeight="1" x14ac:dyDescent="0.25">
      <c r="A4" s="75" t="s">
        <v>19</v>
      </c>
      <c r="B4" s="194" t="str">
        <f>IF('Summary Sheet'!B123="","",'Summary Sheet'!B123)</f>
        <v>3817 W FILLMORE ST</v>
      </c>
      <c r="C4" s="194"/>
      <c r="D4" s="130"/>
      <c r="E4" s="4"/>
      <c r="F4" s="130"/>
      <c r="G4" s="130"/>
      <c r="H4" s="5"/>
    </row>
    <row r="5" spans="1:14" ht="15" customHeight="1" x14ac:dyDescent="0.25">
      <c r="A5" s="75" t="s">
        <v>20</v>
      </c>
      <c r="B5" s="195" t="str">
        <f>IF('Summary Sheet'!C123="","",'Summary Sheet'!C123)</f>
        <v/>
      </c>
      <c r="C5" s="195"/>
      <c r="D5" s="130"/>
      <c r="E5" s="4"/>
      <c r="F5" s="130"/>
      <c r="G5" s="130"/>
      <c r="H5" s="5"/>
    </row>
    <row r="6" spans="1:14" ht="15" customHeight="1" x14ac:dyDescent="0.25">
      <c r="A6" s="75" t="s">
        <v>36</v>
      </c>
      <c r="B6" s="177"/>
      <c r="C6" s="177"/>
      <c r="D6" s="6"/>
      <c r="E6" s="7"/>
    </row>
    <row r="7" spans="1:14" ht="15" customHeight="1" x14ac:dyDescent="0.25">
      <c r="A7" s="7"/>
      <c r="B7" s="196" t="s">
        <v>34</v>
      </c>
      <c r="C7" s="196"/>
      <c r="D7" s="10"/>
    </row>
    <row r="8" spans="1:14" ht="20.100000000000001" customHeight="1" x14ac:dyDescent="0.25">
      <c r="B8" s="11"/>
      <c r="C8" s="11"/>
      <c r="D8" s="12" t="s">
        <v>31</v>
      </c>
      <c r="F8" s="180" t="s">
        <v>32</v>
      </c>
      <c r="G8" s="181"/>
      <c r="H8" s="182"/>
    </row>
    <row r="9" spans="1:14" s="14" customFormat="1" ht="20.100000000000001" customHeight="1" x14ac:dyDescent="0.25">
      <c r="A9" s="197"/>
      <c r="B9" s="197"/>
      <c r="C9" s="197"/>
      <c r="D9" s="13">
        <f>SUM(D27,D46,D65,D84,D103,D122,D141,D160)</f>
        <v>26510</v>
      </c>
      <c r="F9" s="15" t="s">
        <v>28</v>
      </c>
      <c r="G9" s="15" t="s">
        <v>29</v>
      </c>
      <c r="H9" s="15" t="s">
        <v>30</v>
      </c>
      <c r="I9" s="16"/>
      <c r="J9" s="16"/>
      <c r="K9" s="16"/>
      <c r="L9" s="16"/>
      <c r="M9" s="16"/>
      <c r="N9" s="16"/>
    </row>
    <row r="10" spans="1:14" s="17" customFormat="1" ht="23.1" customHeight="1" x14ac:dyDescent="0.3">
      <c r="A10" s="198" t="s">
        <v>51</v>
      </c>
      <c r="B10" s="198"/>
      <c r="C10" s="198"/>
      <c r="D10" s="198"/>
      <c r="F10" s="183" t="s">
        <v>66</v>
      </c>
      <c r="G10" s="184"/>
      <c r="H10" s="185"/>
      <c r="I10" s="18"/>
      <c r="J10" s="18"/>
      <c r="K10" s="18"/>
      <c r="L10" s="18"/>
      <c r="M10" s="19"/>
      <c r="N10" s="20"/>
    </row>
    <row r="11" spans="1:14" s="24" customFormat="1" ht="12.75" customHeight="1" x14ac:dyDescent="0.25">
      <c r="A11" s="21" t="s">
        <v>21</v>
      </c>
      <c r="B11" s="22" t="s">
        <v>22</v>
      </c>
      <c r="C11" s="22" t="s">
        <v>23</v>
      </c>
      <c r="D11" s="23" t="s">
        <v>25</v>
      </c>
      <c r="F11" s="186"/>
      <c r="G11" s="187"/>
      <c r="H11" s="188"/>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78" t="s">
        <v>53</v>
      </c>
      <c r="B27" s="179"/>
      <c r="C27" s="179"/>
      <c r="D27" s="96">
        <f>SUM(Grass_91[Amount])</f>
        <v>0</v>
      </c>
      <c r="F27" s="173" t="s">
        <v>33</v>
      </c>
      <c r="G27" s="174"/>
      <c r="H27" s="174"/>
      <c r="I27" s="35"/>
      <c r="J27" s="35"/>
      <c r="K27" s="35"/>
      <c r="L27" s="35"/>
      <c r="M27" s="36"/>
      <c r="N27" s="37"/>
    </row>
    <row r="28" spans="1:14" s="40" customFormat="1" ht="11.1" customHeight="1" x14ac:dyDescent="0.3">
      <c r="A28" s="38"/>
      <c r="B28" s="38"/>
      <c r="C28" s="38"/>
      <c r="D28" s="39"/>
      <c r="F28" s="173"/>
      <c r="G28" s="174"/>
      <c r="H28" s="174"/>
      <c r="I28" s="35"/>
      <c r="J28" s="35"/>
      <c r="K28" s="35"/>
      <c r="L28" s="35"/>
      <c r="M28" s="36"/>
      <c r="N28" s="37"/>
    </row>
    <row r="29" spans="1:14" s="17" customFormat="1" ht="23.1" customHeight="1" x14ac:dyDescent="0.3">
      <c r="A29" s="191" t="s">
        <v>67</v>
      </c>
      <c r="B29" s="192"/>
      <c r="C29" s="192"/>
      <c r="D29" s="193"/>
      <c r="F29" s="183" t="s">
        <v>52</v>
      </c>
      <c r="G29" s="184"/>
      <c r="H29" s="185"/>
      <c r="I29" s="18"/>
      <c r="J29" s="18"/>
      <c r="K29" s="18"/>
      <c r="L29" s="18"/>
      <c r="M29" s="19"/>
      <c r="N29" s="20"/>
    </row>
    <row r="30" spans="1:14" s="41" customFormat="1" ht="12.75" customHeight="1" x14ac:dyDescent="0.25">
      <c r="A30" s="21" t="s">
        <v>21</v>
      </c>
      <c r="B30" s="22" t="s">
        <v>22</v>
      </c>
      <c r="C30" s="22" t="s">
        <v>23</v>
      </c>
      <c r="D30" s="23" t="s">
        <v>25</v>
      </c>
      <c r="F30" s="186"/>
      <c r="G30" s="187"/>
      <c r="H30" s="188"/>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31"/>
      <c r="J44" s="29"/>
      <c r="K44" s="29"/>
      <c r="L44" s="131"/>
      <c r="M44" s="30"/>
      <c r="N44" s="16"/>
    </row>
    <row r="45" spans="1:14" x14ac:dyDescent="0.3">
      <c r="A45" s="106"/>
      <c r="B45" s="107"/>
      <c r="C45" s="107"/>
      <c r="D45" s="114"/>
      <c r="F45" s="103"/>
      <c r="G45" s="104"/>
      <c r="H45" s="109"/>
      <c r="I45" s="131"/>
      <c r="J45" s="29"/>
      <c r="K45" s="29"/>
      <c r="L45" s="131"/>
      <c r="M45" s="30"/>
      <c r="N45" s="16"/>
    </row>
    <row r="46" spans="1:14" s="34" customFormat="1" x14ac:dyDescent="0.3">
      <c r="A46" s="178" t="s">
        <v>54</v>
      </c>
      <c r="B46" s="179"/>
      <c r="C46" s="179"/>
      <c r="D46" s="96">
        <f>SUM(Tree_91[Amount])</f>
        <v>0</v>
      </c>
      <c r="F46" s="173" t="s">
        <v>33</v>
      </c>
      <c r="G46" s="174"/>
      <c r="H46" s="174"/>
      <c r="I46" s="43"/>
      <c r="J46" s="43"/>
      <c r="K46" s="43"/>
      <c r="L46" s="43"/>
      <c r="M46" s="36"/>
      <c r="N46" s="37"/>
    </row>
    <row r="47" spans="1:14" s="40" customFormat="1" ht="11.1" customHeight="1" x14ac:dyDescent="0.3">
      <c r="A47" s="38"/>
      <c r="B47" s="38"/>
      <c r="C47" s="38"/>
      <c r="D47" s="39"/>
      <c r="F47" s="173"/>
      <c r="G47" s="174"/>
      <c r="H47" s="174"/>
      <c r="I47" s="43"/>
      <c r="J47" s="43"/>
      <c r="K47" s="43"/>
      <c r="L47" s="43"/>
      <c r="M47" s="36"/>
      <c r="N47" s="37"/>
    </row>
    <row r="48" spans="1:14" s="17" customFormat="1" ht="23.1" customHeight="1" x14ac:dyDescent="0.3">
      <c r="A48" s="191" t="s">
        <v>68</v>
      </c>
      <c r="B48" s="192"/>
      <c r="C48" s="192"/>
      <c r="D48" s="193"/>
      <c r="F48" s="183" t="s">
        <v>55</v>
      </c>
      <c r="G48" s="184"/>
      <c r="H48" s="185"/>
      <c r="I48" s="44"/>
      <c r="J48" s="44"/>
      <c r="K48" s="44"/>
      <c r="L48" s="44"/>
      <c r="M48" s="19"/>
      <c r="N48" s="20"/>
    </row>
    <row r="49" spans="1:14" s="41" customFormat="1" ht="12.75" customHeight="1" x14ac:dyDescent="0.25">
      <c r="A49" s="21" t="s">
        <v>21</v>
      </c>
      <c r="B49" s="22" t="s">
        <v>22</v>
      </c>
      <c r="C49" s="22" t="s">
        <v>23</v>
      </c>
      <c r="D49" s="23" t="s">
        <v>25</v>
      </c>
      <c r="F49" s="186"/>
      <c r="G49" s="187"/>
      <c r="H49" s="188"/>
      <c r="I49" s="131"/>
      <c r="J49" s="131"/>
      <c r="K49" s="131"/>
      <c r="L49" s="131"/>
      <c r="M49" s="30"/>
      <c r="N49" s="42"/>
    </row>
    <row r="50" spans="1:14" x14ac:dyDescent="0.3">
      <c r="A50" s="100"/>
      <c r="B50" s="101"/>
      <c r="C50" s="101"/>
      <c r="D50" s="112"/>
      <c r="F50" s="103"/>
      <c r="G50" s="104"/>
      <c r="H50" s="109"/>
      <c r="I50" s="131"/>
      <c r="J50" s="131"/>
      <c r="K50" s="131"/>
      <c r="L50" s="131"/>
      <c r="M50" s="30"/>
      <c r="N50" s="16"/>
    </row>
    <row r="51" spans="1:14" x14ac:dyDescent="0.3">
      <c r="A51" s="106"/>
      <c r="B51" s="107"/>
      <c r="C51" s="107"/>
      <c r="D51" s="113"/>
      <c r="F51" s="103"/>
      <c r="G51" s="104"/>
      <c r="H51" s="109"/>
      <c r="I51" s="131"/>
      <c r="J51" s="131"/>
      <c r="K51" s="131"/>
      <c r="L51" s="131"/>
      <c r="M51" s="30"/>
      <c r="N51" s="16"/>
    </row>
    <row r="52" spans="1:14" x14ac:dyDescent="0.3">
      <c r="A52" s="106"/>
      <c r="B52" s="107"/>
      <c r="C52" s="107"/>
      <c r="D52" s="114"/>
      <c r="F52" s="103"/>
      <c r="H52" s="109"/>
      <c r="I52" s="131"/>
      <c r="J52" s="131"/>
      <c r="K52" s="131"/>
      <c r="L52" s="131"/>
      <c r="M52" s="30"/>
      <c r="N52" s="16"/>
    </row>
    <row r="53" spans="1:14" x14ac:dyDescent="0.3">
      <c r="A53" s="106"/>
      <c r="B53" s="107"/>
      <c r="C53" s="107"/>
      <c r="D53" s="113"/>
      <c r="F53" s="103"/>
      <c r="G53" s="104"/>
      <c r="H53" s="109"/>
      <c r="I53" s="131"/>
      <c r="J53" s="131"/>
      <c r="K53" s="131"/>
      <c r="L53" s="131"/>
      <c r="M53" s="30"/>
      <c r="N53" s="16"/>
    </row>
    <row r="54" spans="1:14" x14ac:dyDescent="0.3">
      <c r="A54" s="106"/>
      <c r="B54" s="107"/>
      <c r="C54" s="107"/>
      <c r="D54" s="114"/>
      <c r="F54" s="103"/>
      <c r="G54" s="104"/>
      <c r="H54" s="109"/>
      <c r="I54" s="131"/>
      <c r="J54" s="131"/>
      <c r="K54" s="131"/>
      <c r="L54" s="131"/>
      <c r="M54" s="30"/>
      <c r="N54" s="16"/>
    </row>
    <row r="55" spans="1:14" x14ac:dyDescent="0.3">
      <c r="A55" s="106"/>
      <c r="B55" s="107"/>
      <c r="C55" s="107"/>
      <c r="D55" s="113"/>
      <c r="F55" s="103"/>
      <c r="G55" s="104"/>
      <c r="H55" s="109"/>
      <c r="I55" s="131"/>
      <c r="J55" s="131"/>
      <c r="K55" s="131"/>
      <c r="L55" s="131"/>
      <c r="M55" s="30"/>
      <c r="N55" s="16"/>
    </row>
    <row r="56" spans="1:14" x14ac:dyDescent="0.3">
      <c r="A56" s="106"/>
      <c r="B56" s="107"/>
      <c r="C56" s="107"/>
      <c r="D56" s="114"/>
      <c r="F56" s="103"/>
      <c r="G56" s="104"/>
      <c r="H56" s="109"/>
      <c r="I56" s="131"/>
      <c r="J56" s="131"/>
      <c r="K56" s="131"/>
      <c r="L56" s="131"/>
      <c r="M56" s="30"/>
      <c r="N56" s="16"/>
    </row>
    <row r="57" spans="1:14" x14ac:dyDescent="0.3">
      <c r="A57" s="106"/>
      <c r="B57" s="107"/>
      <c r="C57" s="107"/>
      <c r="D57" s="113"/>
      <c r="F57" s="103"/>
      <c r="G57" s="104"/>
      <c r="H57" s="109"/>
      <c r="I57" s="131"/>
      <c r="J57" s="131"/>
      <c r="K57" s="131"/>
      <c r="L57" s="131"/>
      <c r="M57" s="30"/>
      <c r="N57" s="16"/>
    </row>
    <row r="58" spans="1:14" x14ac:dyDescent="0.3">
      <c r="A58" s="106"/>
      <c r="B58" s="107"/>
      <c r="C58" s="107"/>
      <c r="D58" s="114"/>
      <c r="F58" s="103"/>
      <c r="G58" s="104"/>
      <c r="H58" s="109"/>
      <c r="I58" s="131"/>
      <c r="J58" s="131"/>
      <c r="K58" s="131"/>
      <c r="L58" s="131"/>
      <c r="M58" s="30"/>
      <c r="N58" s="16"/>
    </row>
    <row r="59" spans="1:14" x14ac:dyDescent="0.3">
      <c r="A59" s="106"/>
      <c r="B59" s="107"/>
      <c r="C59" s="107"/>
      <c r="D59" s="113"/>
      <c r="F59" s="103"/>
      <c r="G59" s="104"/>
      <c r="H59" s="109"/>
      <c r="I59" s="131"/>
      <c r="J59" s="190"/>
      <c r="K59" s="190"/>
      <c r="L59" s="131"/>
      <c r="M59" s="30"/>
      <c r="N59" s="16"/>
    </row>
    <row r="60" spans="1:14" x14ac:dyDescent="0.3">
      <c r="A60" s="106"/>
      <c r="B60" s="107"/>
      <c r="C60" s="107"/>
      <c r="D60" s="114"/>
      <c r="F60" s="103"/>
      <c r="G60" s="104"/>
      <c r="H60" s="109"/>
      <c r="I60" s="189"/>
      <c r="J60" s="189"/>
      <c r="K60" s="189"/>
      <c r="L60" s="189"/>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78" t="s">
        <v>56</v>
      </c>
      <c r="B65" s="179"/>
      <c r="C65" s="179"/>
      <c r="D65" s="96">
        <f>SUM(Pest_91[Amount])</f>
        <v>0</v>
      </c>
      <c r="F65" s="173" t="s">
        <v>33</v>
      </c>
      <c r="G65" s="174"/>
      <c r="H65" s="174"/>
    </row>
    <row r="66" spans="1:8" x14ac:dyDescent="0.3">
      <c r="F66" s="173"/>
      <c r="G66" s="174"/>
      <c r="H66" s="174"/>
    </row>
    <row r="67" spans="1:8" ht="17.399999999999999" x14ac:dyDescent="0.3">
      <c r="A67" s="198" t="s">
        <v>69</v>
      </c>
      <c r="B67" s="198"/>
      <c r="C67" s="198"/>
      <c r="D67" s="198"/>
      <c r="E67" s="17"/>
      <c r="F67" s="183" t="s">
        <v>57</v>
      </c>
      <c r="G67" s="184"/>
      <c r="H67" s="185"/>
    </row>
    <row r="68" spans="1:8" x14ac:dyDescent="0.3">
      <c r="A68" s="21" t="s">
        <v>21</v>
      </c>
      <c r="B68" s="22" t="s">
        <v>22</v>
      </c>
      <c r="C68" s="22" t="s">
        <v>23</v>
      </c>
      <c r="D68" s="23" t="s">
        <v>25</v>
      </c>
      <c r="E68" s="24"/>
      <c r="F68" s="186"/>
      <c r="G68" s="187"/>
      <c r="H68" s="188"/>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78" t="s">
        <v>58</v>
      </c>
      <c r="B84" s="179"/>
      <c r="C84" s="179"/>
      <c r="D84" s="96">
        <f>SUM(Garbage_91[Amount])</f>
        <v>0</v>
      </c>
      <c r="E84" s="34"/>
      <c r="F84" s="173" t="s">
        <v>33</v>
      </c>
      <c r="G84" s="174"/>
      <c r="H84" s="174"/>
    </row>
    <row r="85" spans="1:8" x14ac:dyDescent="0.3">
      <c r="A85" s="38"/>
      <c r="B85" s="38"/>
      <c r="C85" s="38"/>
      <c r="D85" s="39"/>
      <c r="E85" s="40"/>
      <c r="F85" s="173"/>
      <c r="G85" s="174"/>
      <c r="H85" s="174"/>
    </row>
    <row r="86" spans="1:8" ht="17.399999999999999" x14ac:dyDescent="0.3">
      <c r="A86" s="191" t="s">
        <v>59</v>
      </c>
      <c r="B86" s="192"/>
      <c r="C86" s="192"/>
      <c r="D86" s="193"/>
      <c r="E86" s="17"/>
      <c r="F86" s="183" t="s">
        <v>60</v>
      </c>
      <c r="G86" s="184"/>
      <c r="H86" s="185"/>
    </row>
    <row r="87" spans="1:8" x14ac:dyDescent="0.3">
      <c r="A87" s="21" t="s">
        <v>21</v>
      </c>
      <c r="B87" s="22" t="s">
        <v>22</v>
      </c>
      <c r="C87" s="22" t="s">
        <v>23</v>
      </c>
      <c r="D87" s="23" t="s">
        <v>25</v>
      </c>
      <c r="E87" s="41"/>
      <c r="F87" s="186"/>
      <c r="G87" s="187"/>
      <c r="H87" s="188"/>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78" t="s">
        <v>61</v>
      </c>
      <c r="B103" s="179"/>
      <c r="C103" s="179"/>
      <c r="D103" s="96">
        <f>SUM(Boarding_91[Amount])</f>
        <v>0</v>
      </c>
      <c r="E103" s="34"/>
      <c r="F103" s="173" t="s">
        <v>33</v>
      </c>
      <c r="G103" s="174"/>
      <c r="H103" s="174"/>
    </row>
    <row r="104" spans="1:8" x14ac:dyDescent="0.3">
      <c r="A104" s="38"/>
      <c r="B104" s="38"/>
      <c r="C104" s="38"/>
      <c r="D104" s="39"/>
      <c r="E104" s="40"/>
      <c r="F104" s="173"/>
      <c r="G104" s="174"/>
      <c r="H104" s="174"/>
    </row>
    <row r="105" spans="1:8" ht="17.399999999999999" x14ac:dyDescent="0.3">
      <c r="A105" s="191" t="s">
        <v>70</v>
      </c>
      <c r="B105" s="192"/>
      <c r="C105" s="192"/>
      <c r="D105" s="193"/>
      <c r="E105" s="17"/>
      <c r="F105" s="183" t="s">
        <v>62</v>
      </c>
      <c r="G105" s="184"/>
      <c r="H105" s="185"/>
    </row>
    <row r="106" spans="1:8" x14ac:dyDescent="0.3">
      <c r="A106" s="21" t="s">
        <v>21</v>
      </c>
      <c r="B106" s="22" t="s">
        <v>22</v>
      </c>
      <c r="C106" s="22" t="s">
        <v>23</v>
      </c>
      <c r="D106" s="23" t="s">
        <v>25</v>
      </c>
      <c r="E106" s="41"/>
      <c r="F106" s="186"/>
      <c r="G106" s="187"/>
      <c r="H106" s="188"/>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78" t="s">
        <v>63</v>
      </c>
      <c r="B122" s="179"/>
      <c r="C122" s="179"/>
      <c r="D122" s="96">
        <f>SUM(Fence_91[Amount])</f>
        <v>0</v>
      </c>
      <c r="E122" s="34"/>
      <c r="F122" s="173" t="s">
        <v>33</v>
      </c>
      <c r="G122" s="174"/>
      <c r="H122" s="174"/>
    </row>
    <row r="123" spans="1:8" x14ac:dyDescent="0.3">
      <c r="F123" s="173"/>
      <c r="G123" s="174"/>
      <c r="H123" s="174"/>
    </row>
    <row r="124" spans="1:8" ht="17.399999999999999" x14ac:dyDescent="0.3">
      <c r="A124" s="191" t="s">
        <v>26</v>
      </c>
      <c r="B124" s="192"/>
      <c r="C124" s="192"/>
      <c r="D124" s="193"/>
      <c r="E124" s="17"/>
      <c r="F124" s="183" t="s">
        <v>11</v>
      </c>
      <c r="G124" s="184"/>
      <c r="H124" s="185"/>
    </row>
    <row r="125" spans="1:8" x14ac:dyDescent="0.3">
      <c r="A125" s="21" t="s">
        <v>21</v>
      </c>
      <c r="B125" s="22" t="s">
        <v>22</v>
      </c>
      <c r="C125" s="22" t="s">
        <v>23</v>
      </c>
      <c r="D125" s="23" t="s">
        <v>25</v>
      </c>
      <c r="E125" s="41"/>
      <c r="F125" s="186"/>
      <c r="G125" s="187"/>
      <c r="H125" s="188"/>
    </row>
    <row r="126" spans="1:8" x14ac:dyDescent="0.3">
      <c r="A126" s="100"/>
      <c r="B126" s="101"/>
      <c r="C126" s="101"/>
      <c r="D126" s="112">
        <v>26510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78" t="s">
        <v>27</v>
      </c>
      <c r="B141" s="179"/>
      <c r="C141" s="179"/>
      <c r="D141" s="96">
        <f>SUM(Demolition_91[Amount])</f>
        <v>26510</v>
      </c>
      <c r="E141" s="34"/>
      <c r="F141" s="173" t="s">
        <v>33</v>
      </c>
      <c r="G141" s="174"/>
      <c r="H141" s="174"/>
    </row>
    <row r="142" spans="1:8" x14ac:dyDescent="0.3">
      <c r="A142" s="38"/>
      <c r="B142" s="38"/>
      <c r="C142" s="38"/>
      <c r="D142" s="39"/>
      <c r="E142" s="40"/>
      <c r="F142" s="173"/>
      <c r="G142" s="174"/>
      <c r="H142" s="174"/>
    </row>
    <row r="143" spans="1:8" ht="17.399999999999999" x14ac:dyDescent="0.3">
      <c r="A143" s="191" t="s">
        <v>64</v>
      </c>
      <c r="B143" s="192"/>
      <c r="C143" s="192"/>
      <c r="D143" s="193"/>
      <c r="E143" s="17"/>
      <c r="F143" s="183" t="s">
        <v>44</v>
      </c>
      <c r="G143" s="184"/>
      <c r="H143" s="185"/>
    </row>
    <row r="144" spans="1:8" x14ac:dyDescent="0.3">
      <c r="A144" s="21" t="s">
        <v>21</v>
      </c>
      <c r="B144" s="22" t="s">
        <v>22</v>
      </c>
      <c r="C144" s="22" t="s">
        <v>23</v>
      </c>
      <c r="D144" s="23" t="s">
        <v>25</v>
      </c>
      <c r="E144" s="41"/>
      <c r="F144" s="186"/>
      <c r="G144" s="187"/>
      <c r="H144" s="188"/>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78" t="s">
        <v>65</v>
      </c>
      <c r="B160" s="179"/>
      <c r="C160" s="179"/>
      <c r="D160" s="96">
        <f>SUM(Rehab_91[Amount])</f>
        <v>0</v>
      </c>
      <c r="E160" s="34"/>
      <c r="F160" s="173" t="s">
        <v>33</v>
      </c>
      <c r="G160" s="174"/>
      <c r="H160" s="174"/>
    </row>
    <row r="161" spans="6:8" x14ac:dyDescent="0.3">
      <c r="F161" s="173"/>
      <c r="G161" s="174"/>
      <c r="H161" s="174"/>
    </row>
  </sheetData>
  <sheetProtection algorithmName="SHA-512" hashValue="9hJH1KTF7kmlrHSZb7QMjjmhBJSlV/VplvItID/j3IrRNssiJDvpXB0+yFY6mKV1nsoCvsdwMwF1ScpirUJDFA==" saltValue="LXFaci7xtor8Aq8XIuwXGA=="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61"/>
  <sheetViews>
    <sheetView showGridLines="0" zoomScaleNormal="100" workbookViewId="0">
      <pane ySplit="9" topLeftCell="A124"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5" t="s">
        <v>24</v>
      </c>
      <c r="B1" s="175"/>
      <c r="C1" s="175"/>
      <c r="D1" s="175"/>
      <c r="E1" s="1"/>
      <c r="F1" s="2"/>
      <c r="G1" s="2"/>
      <c r="H1" s="1"/>
    </row>
    <row r="2" spans="1:14" ht="24.9" customHeight="1" x14ac:dyDescent="0.3">
      <c r="A2" s="176" t="s">
        <v>71</v>
      </c>
      <c r="B2" s="176"/>
      <c r="C2" s="176"/>
      <c r="D2" s="176"/>
      <c r="E2" s="4"/>
      <c r="F2" s="130"/>
      <c r="G2" s="130"/>
      <c r="H2" s="5"/>
    </row>
    <row r="3" spans="1:14" ht="31.5" customHeight="1" x14ac:dyDescent="0.3">
      <c r="A3" s="176"/>
      <c r="B3" s="176"/>
      <c r="C3" s="176"/>
      <c r="D3" s="176"/>
      <c r="E3" s="4"/>
      <c r="F3" s="130"/>
      <c r="G3" s="130"/>
      <c r="H3" s="5"/>
    </row>
    <row r="4" spans="1:14" ht="15" customHeight="1" x14ac:dyDescent="0.25">
      <c r="A4" s="75" t="s">
        <v>19</v>
      </c>
      <c r="B4" s="194" t="str">
        <f>IF('Summary Sheet'!B124="","",'Summary Sheet'!B124)</f>
        <v>3818 W JACKSON BLVD</v>
      </c>
      <c r="C4" s="194"/>
      <c r="D4" s="130"/>
      <c r="E4" s="4"/>
      <c r="F4" s="130"/>
      <c r="G4" s="130"/>
      <c r="H4" s="5"/>
    </row>
    <row r="5" spans="1:14" ht="15" customHeight="1" x14ac:dyDescent="0.25">
      <c r="A5" s="75" t="s">
        <v>20</v>
      </c>
      <c r="B5" s="195" t="str">
        <f>IF('Summary Sheet'!C124="","",'Summary Sheet'!C124)</f>
        <v/>
      </c>
      <c r="C5" s="195"/>
      <c r="D5" s="130"/>
      <c r="E5" s="4"/>
      <c r="F5" s="130"/>
      <c r="G5" s="130"/>
      <c r="H5" s="5"/>
    </row>
    <row r="6" spans="1:14" ht="15" customHeight="1" x14ac:dyDescent="0.25">
      <c r="A6" s="75" t="s">
        <v>36</v>
      </c>
      <c r="B6" s="177"/>
      <c r="C6" s="177"/>
      <c r="D6" s="6"/>
      <c r="E6" s="7"/>
    </row>
    <row r="7" spans="1:14" ht="15" customHeight="1" x14ac:dyDescent="0.25">
      <c r="A7" s="7"/>
      <c r="B7" s="196" t="s">
        <v>34</v>
      </c>
      <c r="C7" s="196"/>
      <c r="D7" s="10"/>
    </row>
    <row r="8" spans="1:14" ht="20.100000000000001" customHeight="1" x14ac:dyDescent="0.25">
      <c r="B8" s="11"/>
      <c r="C8" s="11"/>
      <c r="D8" s="12" t="s">
        <v>31</v>
      </c>
      <c r="F8" s="180" t="s">
        <v>32</v>
      </c>
      <c r="G8" s="181"/>
      <c r="H8" s="182"/>
    </row>
    <row r="9" spans="1:14" s="14" customFormat="1" ht="20.100000000000001" customHeight="1" x14ac:dyDescent="0.25">
      <c r="A9" s="197"/>
      <c r="B9" s="197"/>
      <c r="C9" s="197"/>
      <c r="D9" s="13">
        <f>SUM(D27,D46,D65,D84,D103,D122,D141,D160)</f>
        <v>31510</v>
      </c>
      <c r="F9" s="15" t="s">
        <v>28</v>
      </c>
      <c r="G9" s="15" t="s">
        <v>29</v>
      </c>
      <c r="H9" s="15" t="s">
        <v>30</v>
      </c>
      <c r="I9" s="16"/>
      <c r="J9" s="16"/>
      <c r="K9" s="16"/>
      <c r="L9" s="16"/>
      <c r="M9" s="16"/>
      <c r="N9" s="16"/>
    </row>
    <row r="10" spans="1:14" s="17" customFormat="1" ht="23.1" customHeight="1" x14ac:dyDescent="0.3">
      <c r="A10" s="198" t="s">
        <v>51</v>
      </c>
      <c r="B10" s="198"/>
      <c r="C10" s="198"/>
      <c r="D10" s="198"/>
      <c r="F10" s="183" t="s">
        <v>66</v>
      </c>
      <c r="G10" s="184"/>
      <c r="H10" s="185"/>
      <c r="I10" s="18"/>
      <c r="J10" s="18"/>
      <c r="K10" s="18"/>
      <c r="L10" s="18"/>
      <c r="M10" s="19"/>
      <c r="N10" s="20"/>
    </row>
    <row r="11" spans="1:14" s="24" customFormat="1" ht="12.75" customHeight="1" x14ac:dyDescent="0.25">
      <c r="A11" s="21" t="s">
        <v>21</v>
      </c>
      <c r="B11" s="22" t="s">
        <v>22</v>
      </c>
      <c r="C11" s="22" t="s">
        <v>23</v>
      </c>
      <c r="D11" s="23" t="s">
        <v>25</v>
      </c>
      <c r="F11" s="186"/>
      <c r="G11" s="187"/>
      <c r="H11" s="188"/>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78" t="s">
        <v>53</v>
      </c>
      <c r="B27" s="179"/>
      <c r="C27" s="179"/>
      <c r="D27" s="96">
        <f>SUM(Grass_92[Amount])</f>
        <v>0</v>
      </c>
      <c r="F27" s="173" t="s">
        <v>33</v>
      </c>
      <c r="G27" s="174"/>
      <c r="H27" s="174"/>
      <c r="I27" s="35"/>
      <c r="J27" s="35"/>
      <c r="K27" s="35"/>
      <c r="L27" s="35"/>
      <c r="M27" s="36"/>
      <c r="N27" s="37"/>
    </row>
    <row r="28" spans="1:14" s="40" customFormat="1" ht="11.1" customHeight="1" x14ac:dyDescent="0.3">
      <c r="A28" s="38"/>
      <c r="B28" s="38"/>
      <c r="C28" s="38"/>
      <c r="D28" s="39"/>
      <c r="F28" s="173"/>
      <c r="G28" s="174"/>
      <c r="H28" s="174"/>
      <c r="I28" s="35"/>
      <c r="J28" s="35"/>
      <c r="K28" s="35"/>
      <c r="L28" s="35"/>
      <c r="M28" s="36"/>
      <c r="N28" s="37"/>
    </row>
    <row r="29" spans="1:14" s="17" customFormat="1" ht="23.1" customHeight="1" x14ac:dyDescent="0.3">
      <c r="A29" s="191" t="s">
        <v>67</v>
      </c>
      <c r="B29" s="192"/>
      <c r="C29" s="192"/>
      <c r="D29" s="193"/>
      <c r="F29" s="183" t="s">
        <v>52</v>
      </c>
      <c r="G29" s="184"/>
      <c r="H29" s="185"/>
      <c r="I29" s="18"/>
      <c r="J29" s="18"/>
      <c r="K29" s="18"/>
      <c r="L29" s="18"/>
      <c r="M29" s="19"/>
      <c r="N29" s="20"/>
    </row>
    <row r="30" spans="1:14" s="41" customFormat="1" ht="12.75" customHeight="1" x14ac:dyDescent="0.25">
      <c r="A30" s="21" t="s">
        <v>21</v>
      </c>
      <c r="B30" s="22" t="s">
        <v>22</v>
      </c>
      <c r="C30" s="22" t="s">
        <v>23</v>
      </c>
      <c r="D30" s="23" t="s">
        <v>25</v>
      </c>
      <c r="F30" s="186"/>
      <c r="G30" s="187"/>
      <c r="H30" s="188"/>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31"/>
      <c r="J44" s="29"/>
      <c r="K44" s="29"/>
      <c r="L44" s="131"/>
      <c r="M44" s="30"/>
      <c r="N44" s="16"/>
    </row>
    <row r="45" spans="1:14" x14ac:dyDescent="0.3">
      <c r="A45" s="106"/>
      <c r="B45" s="107"/>
      <c r="C45" s="107"/>
      <c r="D45" s="114"/>
      <c r="F45" s="103"/>
      <c r="G45" s="104"/>
      <c r="H45" s="109"/>
      <c r="I45" s="131"/>
      <c r="J45" s="29"/>
      <c r="K45" s="29"/>
      <c r="L45" s="131"/>
      <c r="M45" s="30"/>
      <c r="N45" s="16"/>
    </row>
    <row r="46" spans="1:14" s="34" customFormat="1" x14ac:dyDescent="0.3">
      <c r="A46" s="178" t="s">
        <v>54</v>
      </c>
      <c r="B46" s="179"/>
      <c r="C46" s="179"/>
      <c r="D46" s="96">
        <f>SUM(Tree_92[Amount])</f>
        <v>0</v>
      </c>
      <c r="F46" s="173" t="s">
        <v>33</v>
      </c>
      <c r="G46" s="174"/>
      <c r="H46" s="174"/>
      <c r="I46" s="43"/>
      <c r="J46" s="43"/>
      <c r="K46" s="43"/>
      <c r="L46" s="43"/>
      <c r="M46" s="36"/>
      <c r="N46" s="37"/>
    </row>
    <row r="47" spans="1:14" s="40" customFormat="1" ht="11.1" customHeight="1" x14ac:dyDescent="0.3">
      <c r="A47" s="38"/>
      <c r="B47" s="38"/>
      <c r="C47" s="38"/>
      <c r="D47" s="39"/>
      <c r="F47" s="173"/>
      <c r="G47" s="174"/>
      <c r="H47" s="174"/>
      <c r="I47" s="43"/>
      <c r="J47" s="43"/>
      <c r="K47" s="43"/>
      <c r="L47" s="43"/>
      <c r="M47" s="36"/>
      <c r="N47" s="37"/>
    </row>
    <row r="48" spans="1:14" s="17" customFormat="1" ht="23.1" customHeight="1" x14ac:dyDescent="0.3">
      <c r="A48" s="191" t="s">
        <v>68</v>
      </c>
      <c r="B48" s="192"/>
      <c r="C48" s="192"/>
      <c r="D48" s="193"/>
      <c r="F48" s="183" t="s">
        <v>55</v>
      </c>
      <c r="G48" s="184"/>
      <c r="H48" s="185"/>
      <c r="I48" s="44"/>
      <c r="J48" s="44"/>
      <c r="K48" s="44"/>
      <c r="L48" s="44"/>
      <c r="M48" s="19"/>
      <c r="N48" s="20"/>
    </row>
    <row r="49" spans="1:14" s="41" customFormat="1" ht="12.75" customHeight="1" x14ac:dyDescent="0.25">
      <c r="A49" s="21" t="s">
        <v>21</v>
      </c>
      <c r="B49" s="22" t="s">
        <v>22</v>
      </c>
      <c r="C49" s="22" t="s">
        <v>23</v>
      </c>
      <c r="D49" s="23" t="s">
        <v>25</v>
      </c>
      <c r="F49" s="186"/>
      <c r="G49" s="187"/>
      <c r="H49" s="188"/>
      <c r="I49" s="131"/>
      <c r="J49" s="131"/>
      <c r="K49" s="131"/>
      <c r="L49" s="131"/>
      <c r="M49" s="30"/>
      <c r="N49" s="42"/>
    </row>
    <row r="50" spans="1:14" x14ac:dyDescent="0.3">
      <c r="A50" s="100"/>
      <c r="B50" s="101"/>
      <c r="C50" s="101"/>
      <c r="D50" s="112"/>
      <c r="F50" s="103"/>
      <c r="G50" s="104"/>
      <c r="H50" s="109"/>
      <c r="I50" s="131"/>
      <c r="J50" s="131"/>
      <c r="K50" s="131"/>
      <c r="L50" s="131"/>
      <c r="M50" s="30"/>
      <c r="N50" s="16"/>
    </row>
    <row r="51" spans="1:14" x14ac:dyDescent="0.3">
      <c r="A51" s="106"/>
      <c r="B51" s="107"/>
      <c r="C51" s="107"/>
      <c r="D51" s="113"/>
      <c r="F51" s="103"/>
      <c r="G51" s="104"/>
      <c r="H51" s="109"/>
      <c r="I51" s="131"/>
      <c r="J51" s="131"/>
      <c r="K51" s="131"/>
      <c r="L51" s="131"/>
      <c r="M51" s="30"/>
      <c r="N51" s="16"/>
    </row>
    <row r="52" spans="1:14" x14ac:dyDescent="0.3">
      <c r="A52" s="106"/>
      <c r="B52" s="107"/>
      <c r="C52" s="107"/>
      <c r="D52" s="114"/>
      <c r="F52" s="103"/>
      <c r="H52" s="109"/>
      <c r="I52" s="131"/>
      <c r="J52" s="131"/>
      <c r="K52" s="131"/>
      <c r="L52" s="131"/>
      <c r="M52" s="30"/>
      <c r="N52" s="16"/>
    </row>
    <row r="53" spans="1:14" x14ac:dyDescent="0.3">
      <c r="A53" s="106"/>
      <c r="B53" s="107"/>
      <c r="C53" s="107"/>
      <c r="D53" s="113"/>
      <c r="F53" s="103"/>
      <c r="G53" s="104"/>
      <c r="H53" s="109"/>
      <c r="I53" s="131"/>
      <c r="J53" s="131"/>
      <c r="K53" s="131"/>
      <c r="L53" s="131"/>
      <c r="M53" s="30"/>
      <c r="N53" s="16"/>
    </row>
    <row r="54" spans="1:14" x14ac:dyDescent="0.3">
      <c r="A54" s="106"/>
      <c r="B54" s="107"/>
      <c r="C54" s="107"/>
      <c r="D54" s="114"/>
      <c r="F54" s="103"/>
      <c r="G54" s="104"/>
      <c r="H54" s="109"/>
      <c r="I54" s="131"/>
      <c r="J54" s="131"/>
      <c r="K54" s="131"/>
      <c r="L54" s="131"/>
      <c r="M54" s="30"/>
      <c r="N54" s="16"/>
    </row>
    <row r="55" spans="1:14" x14ac:dyDescent="0.3">
      <c r="A55" s="106"/>
      <c r="B55" s="107"/>
      <c r="C55" s="107"/>
      <c r="D55" s="113"/>
      <c r="F55" s="103"/>
      <c r="G55" s="104"/>
      <c r="H55" s="109"/>
      <c r="I55" s="131"/>
      <c r="J55" s="131"/>
      <c r="K55" s="131"/>
      <c r="L55" s="131"/>
      <c r="M55" s="30"/>
      <c r="N55" s="16"/>
    </row>
    <row r="56" spans="1:14" x14ac:dyDescent="0.3">
      <c r="A56" s="106"/>
      <c r="B56" s="107"/>
      <c r="C56" s="107"/>
      <c r="D56" s="114"/>
      <c r="F56" s="103"/>
      <c r="G56" s="104"/>
      <c r="H56" s="109"/>
      <c r="I56" s="131"/>
      <c r="J56" s="131"/>
      <c r="K56" s="131"/>
      <c r="L56" s="131"/>
      <c r="M56" s="30"/>
      <c r="N56" s="16"/>
    </row>
    <row r="57" spans="1:14" x14ac:dyDescent="0.3">
      <c r="A57" s="106"/>
      <c r="B57" s="107"/>
      <c r="C57" s="107"/>
      <c r="D57" s="113"/>
      <c r="F57" s="103"/>
      <c r="G57" s="104"/>
      <c r="H57" s="109"/>
      <c r="I57" s="131"/>
      <c r="J57" s="131"/>
      <c r="K57" s="131"/>
      <c r="L57" s="131"/>
      <c r="M57" s="30"/>
      <c r="N57" s="16"/>
    </row>
    <row r="58" spans="1:14" x14ac:dyDescent="0.3">
      <c r="A58" s="106"/>
      <c r="B58" s="107"/>
      <c r="C58" s="107"/>
      <c r="D58" s="114"/>
      <c r="F58" s="103"/>
      <c r="G58" s="104"/>
      <c r="H58" s="109"/>
      <c r="I58" s="131"/>
      <c r="J58" s="131"/>
      <c r="K58" s="131"/>
      <c r="L58" s="131"/>
      <c r="M58" s="30"/>
      <c r="N58" s="16"/>
    </row>
    <row r="59" spans="1:14" x14ac:dyDescent="0.3">
      <c r="A59" s="106"/>
      <c r="B59" s="107"/>
      <c r="C59" s="107"/>
      <c r="D59" s="113"/>
      <c r="F59" s="103"/>
      <c r="G59" s="104"/>
      <c r="H59" s="109"/>
      <c r="I59" s="131"/>
      <c r="J59" s="190"/>
      <c r="K59" s="190"/>
      <c r="L59" s="131"/>
      <c r="M59" s="30"/>
      <c r="N59" s="16"/>
    </row>
    <row r="60" spans="1:14" x14ac:dyDescent="0.3">
      <c r="A60" s="106"/>
      <c r="B60" s="107"/>
      <c r="C60" s="107"/>
      <c r="D60" s="114"/>
      <c r="F60" s="103"/>
      <c r="G60" s="104"/>
      <c r="H60" s="109"/>
      <c r="I60" s="189"/>
      <c r="J60" s="189"/>
      <c r="K60" s="189"/>
      <c r="L60" s="189"/>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78" t="s">
        <v>56</v>
      </c>
      <c r="B65" s="179"/>
      <c r="C65" s="179"/>
      <c r="D65" s="96">
        <f>SUM(Pest_92[Amount])</f>
        <v>0</v>
      </c>
      <c r="F65" s="173" t="s">
        <v>33</v>
      </c>
      <c r="G65" s="174"/>
      <c r="H65" s="174"/>
    </row>
    <row r="66" spans="1:8" x14ac:dyDescent="0.3">
      <c r="F66" s="173"/>
      <c r="G66" s="174"/>
      <c r="H66" s="174"/>
    </row>
    <row r="67" spans="1:8" ht="17.399999999999999" x14ac:dyDescent="0.3">
      <c r="A67" s="198" t="s">
        <v>69</v>
      </c>
      <c r="B67" s="198"/>
      <c r="C67" s="198"/>
      <c r="D67" s="198"/>
      <c r="E67" s="17"/>
      <c r="F67" s="183" t="s">
        <v>57</v>
      </c>
      <c r="G67" s="184"/>
      <c r="H67" s="185"/>
    </row>
    <row r="68" spans="1:8" x14ac:dyDescent="0.3">
      <c r="A68" s="21" t="s">
        <v>21</v>
      </c>
      <c r="B68" s="22" t="s">
        <v>22</v>
      </c>
      <c r="C68" s="22" t="s">
        <v>23</v>
      </c>
      <c r="D68" s="23" t="s">
        <v>25</v>
      </c>
      <c r="E68" s="24"/>
      <c r="F68" s="186"/>
      <c r="G68" s="187"/>
      <c r="H68" s="188"/>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78" t="s">
        <v>58</v>
      </c>
      <c r="B84" s="179"/>
      <c r="C84" s="179"/>
      <c r="D84" s="96">
        <f>SUM(Garbage_92[Amount])</f>
        <v>0</v>
      </c>
      <c r="E84" s="34"/>
      <c r="F84" s="173" t="s">
        <v>33</v>
      </c>
      <c r="G84" s="174"/>
      <c r="H84" s="174"/>
    </row>
    <row r="85" spans="1:8" x14ac:dyDescent="0.3">
      <c r="A85" s="38"/>
      <c r="B85" s="38"/>
      <c r="C85" s="38"/>
      <c r="D85" s="39"/>
      <c r="E85" s="40"/>
      <c r="F85" s="173"/>
      <c r="G85" s="174"/>
      <c r="H85" s="174"/>
    </row>
    <row r="86" spans="1:8" ht="17.399999999999999" x14ac:dyDescent="0.3">
      <c r="A86" s="191" t="s">
        <v>59</v>
      </c>
      <c r="B86" s="192"/>
      <c r="C86" s="192"/>
      <c r="D86" s="193"/>
      <c r="E86" s="17"/>
      <c r="F86" s="183" t="s">
        <v>60</v>
      </c>
      <c r="G86" s="184"/>
      <c r="H86" s="185"/>
    </row>
    <row r="87" spans="1:8" x14ac:dyDescent="0.3">
      <c r="A87" s="21" t="s">
        <v>21</v>
      </c>
      <c r="B87" s="22" t="s">
        <v>22</v>
      </c>
      <c r="C87" s="22" t="s">
        <v>23</v>
      </c>
      <c r="D87" s="23" t="s">
        <v>25</v>
      </c>
      <c r="E87" s="41"/>
      <c r="F87" s="186"/>
      <c r="G87" s="187"/>
      <c r="H87" s="188"/>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78" t="s">
        <v>61</v>
      </c>
      <c r="B103" s="179"/>
      <c r="C103" s="179"/>
      <c r="D103" s="96">
        <f>SUM(Boarding_92[Amount])</f>
        <v>0</v>
      </c>
      <c r="E103" s="34"/>
      <c r="F103" s="173" t="s">
        <v>33</v>
      </c>
      <c r="G103" s="174"/>
      <c r="H103" s="174"/>
    </row>
    <row r="104" spans="1:8" x14ac:dyDescent="0.3">
      <c r="A104" s="38"/>
      <c r="B104" s="38"/>
      <c r="C104" s="38"/>
      <c r="D104" s="39"/>
      <c r="E104" s="40"/>
      <c r="F104" s="173"/>
      <c r="G104" s="174"/>
      <c r="H104" s="174"/>
    </row>
    <row r="105" spans="1:8" ht="17.399999999999999" x14ac:dyDescent="0.3">
      <c r="A105" s="191" t="s">
        <v>70</v>
      </c>
      <c r="B105" s="192"/>
      <c r="C105" s="192"/>
      <c r="D105" s="193"/>
      <c r="E105" s="17"/>
      <c r="F105" s="183" t="s">
        <v>62</v>
      </c>
      <c r="G105" s="184"/>
      <c r="H105" s="185"/>
    </row>
    <row r="106" spans="1:8" x14ac:dyDescent="0.3">
      <c r="A106" s="21" t="s">
        <v>21</v>
      </c>
      <c r="B106" s="22" t="s">
        <v>22</v>
      </c>
      <c r="C106" s="22" t="s">
        <v>23</v>
      </c>
      <c r="D106" s="23" t="s">
        <v>25</v>
      </c>
      <c r="E106" s="41"/>
      <c r="F106" s="186"/>
      <c r="G106" s="187"/>
      <c r="H106" s="188"/>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78" t="s">
        <v>63</v>
      </c>
      <c r="B122" s="179"/>
      <c r="C122" s="179"/>
      <c r="D122" s="96">
        <f>SUM(Fence_92[Amount])</f>
        <v>0</v>
      </c>
      <c r="E122" s="34"/>
      <c r="F122" s="173" t="s">
        <v>33</v>
      </c>
      <c r="G122" s="174"/>
      <c r="H122" s="174"/>
    </row>
    <row r="123" spans="1:8" x14ac:dyDescent="0.3">
      <c r="F123" s="173"/>
      <c r="G123" s="174"/>
      <c r="H123" s="174"/>
    </row>
    <row r="124" spans="1:8" ht="17.399999999999999" x14ac:dyDescent="0.3">
      <c r="A124" s="191" t="s">
        <v>26</v>
      </c>
      <c r="B124" s="192"/>
      <c r="C124" s="192"/>
      <c r="D124" s="193"/>
      <c r="E124" s="17"/>
      <c r="F124" s="183" t="s">
        <v>11</v>
      </c>
      <c r="G124" s="184"/>
      <c r="H124" s="185"/>
    </row>
    <row r="125" spans="1:8" x14ac:dyDescent="0.3">
      <c r="A125" s="21" t="s">
        <v>21</v>
      </c>
      <c r="B125" s="22" t="s">
        <v>22</v>
      </c>
      <c r="C125" s="22" t="s">
        <v>23</v>
      </c>
      <c r="D125" s="23" t="s">
        <v>25</v>
      </c>
      <c r="E125" s="41"/>
      <c r="F125" s="186"/>
      <c r="G125" s="187"/>
      <c r="H125" s="188"/>
    </row>
    <row r="126" spans="1:8" x14ac:dyDescent="0.3">
      <c r="A126" s="100"/>
      <c r="B126" s="101"/>
      <c r="C126" s="101"/>
      <c r="D126" s="112">
        <v>31510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78" t="s">
        <v>27</v>
      </c>
      <c r="B141" s="179"/>
      <c r="C141" s="179"/>
      <c r="D141" s="96">
        <f>SUM(Demolition_92[Amount])</f>
        <v>31510</v>
      </c>
      <c r="E141" s="34"/>
      <c r="F141" s="173" t="s">
        <v>33</v>
      </c>
      <c r="G141" s="174"/>
      <c r="H141" s="174"/>
    </row>
    <row r="142" spans="1:8" x14ac:dyDescent="0.3">
      <c r="A142" s="38"/>
      <c r="B142" s="38"/>
      <c r="C142" s="38"/>
      <c r="D142" s="39"/>
      <c r="E142" s="40"/>
      <c r="F142" s="173"/>
      <c r="G142" s="174"/>
      <c r="H142" s="174"/>
    </row>
    <row r="143" spans="1:8" ht="17.399999999999999" x14ac:dyDescent="0.3">
      <c r="A143" s="191" t="s">
        <v>64</v>
      </c>
      <c r="B143" s="192"/>
      <c r="C143" s="192"/>
      <c r="D143" s="193"/>
      <c r="E143" s="17"/>
      <c r="F143" s="183" t="s">
        <v>44</v>
      </c>
      <c r="G143" s="184"/>
      <c r="H143" s="185"/>
    </row>
    <row r="144" spans="1:8" x14ac:dyDescent="0.3">
      <c r="A144" s="21" t="s">
        <v>21</v>
      </c>
      <c r="B144" s="22" t="s">
        <v>22</v>
      </c>
      <c r="C144" s="22" t="s">
        <v>23</v>
      </c>
      <c r="D144" s="23" t="s">
        <v>25</v>
      </c>
      <c r="E144" s="41"/>
      <c r="F144" s="186"/>
      <c r="G144" s="187"/>
      <c r="H144" s="188"/>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78" t="s">
        <v>65</v>
      </c>
      <c r="B160" s="179"/>
      <c r="C160" s="179"/>
      <c r="D160" s="96">
        <f>SUM(Rehab_92[Amount])</f>
        <v>0</v>
      </c>
      <c r="E160" s="34"/>
      <c r="F160" s="173" t="s">
        <v>33</v>
      </c>
      <c r="G160" s="174"/>
      <c r="H160" s="174"/>
    </row>
    <row r="161" spans="6:8" x14ac:dyDescent="0.3">
      <c r="F161" s="173"/>
      <c r="G161" s="174"/>
      <c r="H161" s="174"/>
    </row>
  </sheetData>
  <sheetProtection algorithmName="SHA-512" hashValue="+DoWtfnGdqPfsGrpZIMUx2yzKXjy3hZaY4QScDUGNSqimMJEJaCNZc3j7OVysy9URV15zgpMzSE8v67OLrMkEg==" saltValue="/XowNvZWdCY9BIKDcBzcxA=="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61"/>
  <sheetViews>
    <sheetView showGridLines="0" zoomScaleNormal="100" workbookViewId="0">
      <pane ySplit="9" topLeftCell="A112"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5" t="s">
        <v>24</v>
      </c>
      <c r="B1" s="175"/>
      <c r="C1" s="175"/>
      <c r="D1" s="175"/>
      <c r="E1" s="1"/>
      <c r="F1" s="2"/>
      <c r="G1" s="2"/>
      <c r="H1" s="1"/>
    </row>
    <row r="2" spans="1:14" ht="24.9" customHeight="1" x14ac:dyDescent="0.3">
      <c r="A2" s="176" t="s">
        <v>71</v>
      </c>
      <c r="B2" s="176"/>
      <c r="C2" s="176"/>
      <c r="D2" s="176"/>
      <c r="E2" s="4"/>
      <c r="F2" s="130"/>
      <c r="G2" s="130"/>
      <c r="H2" s="5"/>
    </row>
    <row r="3" spans="1:14" ht="31.5" customHeight="1" x14ac:dyDescent="0.3">
      <c r="A3" s="176"/>
      <c r="B3" s="176"/>
      <c r="C3" s="176"/>
      <c r="D3" s="176"/>
      <c r="E3" s="4"/>
      <c r="F3" s="130"/>
      <c r="G3" s="130"/>
      <c r="H3" s="5"/>
    </row>
    <row r="4" spans="1:14" ht="15" customHeight="1" x14ac:dyDescent="0.25">
      <c r="A4" s="75" t="s">
        <v>19</v>
      </c>
      <c r="B4" s="194" t="str">
        <f>IF('Summary Sheet'!B125="","",'Summary Sheet'!B125)</f>
        <v>3838 W JACKSON BLVD</v>
      </c>
      <c r="C4" s="194"/>
      <c r="D4" s="130"/>
      <c r="E4" s="4"/>
      <c r="F4" s="130"/>
      <c r="G4" s="130"/>
      <c r="H4" s="5"/>
    </row>
    <row r="5" spans="1:14" ht="15" customHeight="1" x14ac:dyDescent="0.25">
      <c r="A5" s="75" t="s">
        <v>20</v>
      </c>
      <c r="B5" s="195" t="str">
        <f>IF('Summary Sheet'!C125="","",'Summary Sheet'!C125)</f>
        <v/>
      </c>
      <c r="C5" s="195"/>
      <c r="D5" s="130"/>
      <c r="E5" s="4"/>
      <c r="F5" s="130"/>
      <c r="G5" s="130"/>
      <c r="H5" s="5"/>
    </row>
    <row r="6" spans="1:14" ht="15" customHeight="1" x14ac:dyDescent="0.25">
      <c r="A6" s="75" t="s">
        <v>36</v>
      </c>
      <c r="B6" s="177"/>
      <c r="C6" s="177"/>
      <c r="D6" s="6"/>
      <c r="E6" s="7"/>
    </row>
    <row r="7" spans="1:14" ht="15" customHeight="1" x14ac:dyDescent="0.25">
      <c r="A7" s="7"/>
      <c r="B7" s="196" t="s">
        <v>34</v>
      </c>
      <c r="C7" s="196"/>
      <c r="D7" s="10"/>
    </row>
    <row r="8" spans="1:14" ht="20.100000000000001" customHeight="1" x14ac:dyDescent="0.25">
      <c r="B8" s="11"/>
      <c r="C8" s="11"/>
      <c r="D8" s="12" t="s">
        <v>31</v>
      </c>
      <c r="F8" s="180" t="s">
        <v>32</v>
      </c>
      <c r="G8" s="181"/>
      <c r="H8" s="182"/>
    </row>
    <row r="9" spans="1:14" s="14" customFormat="1" ht="20.100000000000001" customHeight="1" x14ac:dyDescent="0.25">
      <c r="A9" s="197"/>
      <c r="B9" s="197"/>
      <c r="C9" s="197"/>
      <c r="D9" s="13">
        <f>SUM(D27,D46,D65,D84,D103,D122,D141,D160)</f>
        <v>21210</v>
      </c>
      <c r="F9" s="15" t="s">
        <v>28</v>
      </c>
      <c r="G9" s="15" t="s">
        <v>29</v>
      </c>
      <c r="H9" s="15" t="s">
        <v>30</v>
      </c>
      <c r="I9" s="16"/>
      <c r="J9" s="16"/>
      <c r="K9" s="16"/>
      <c r="L9" s="16"/>
      <c r="M9" s="16"/>
      <c r="N9" s="16"/>
    </row>
    <row r="10" spans="1:14" s="17" customFormat="1" ht="23.1" customHeight="1" x14ac:dyDescent="0.3">
      <c r="A10" s="198" t="s">
        <v>51</v>
      </c>
      <c r="B10" s="198"/>
      <c r="C10" s="198"/>
      <c r="D10" s="198"/>
      <c r="F10" s="183" t="s">
        <v>66</v>
      </c>
      <c r="G10" s="184"/>
      <c r="H10" s="185"/>
      <c r="I10" s="18"/>
      <c r="J10" s="18"/>
      <c r="K10" s="18"/>
      <c r="L10" s="18"/>
      <c r="M10" s="19"/>
      <c r="N10" s="20"/>
    </row>
    <row r="11" spans="1:14" s="24" customFormat="1" ht="12.75" customHeight="1" x14ac:dyDescent="0.25">
      <c r="A11" s="21" t="s">
        <v>21</v>
      </c>
      <c r="B11" s="22" t="s">
        <v>22</v>
      </c>
      <c r="C11" s="22" t="s">
        <v>23</v>
      </c>
      <c r="D11" s="23" t="s">
        <v>25</v>
      </c>
      <c r="F11" s="186"/>
      <c r="G11" s="187"/>
      <c r="H11" s="188"/>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78" t="s">
        <v>53</v>
      </c>
      <c r="B27" s="179"/>
      <c r="C27" s="179"/>
      <c r="D27" s="96">
        <f>SUM(Grass_93[Amount])</f>
        <v>0</v>
      </c>
      <c r="F27" s="173" t="s">
        <v>33</v>
      </c>
      <c r="G27" s="174"/>
      <c r="H27" s="174"/>
      <c r="I27" s="35"/>
      <c r="J27" s="35"/>
      <c r="K27" s="35"/>
      <c r="L27" s="35"/>
      <c r="M27" s="36"/>
      <c r="N27" s="37"/>
    </row>
    <row r="28" spans="1:14" s="40" customFormat="1" ht="11.1" customHeight="1" x14ac:dyDescent="0.3">
      <c r="A28" s="38"/>
      <c r="B28" s="38"/>
      <c r="C28" s="38"/>
      <c r="D28" s="39"/>
      <c r="F28" s="173"/>
      <c r="G28" s="174"/>
      <c r="H28" s="174"/>
      <c r="I28" s="35"/>
      <c r="J28" s="35"/>
      <c r="K28" s="35"/>
      <c r="L28" s="35"/>
      <c r="M28" s="36"/>
      <c r="N28" s="37"/>
    </row>
    <row r="29" spans="1:14" s="17" customFormat="1" ht="23.1" customHeight="1" x14ac:dyDescent="0.3">
      <c r="A29" s="191" t="s">
        <v>67</v>
      </c>
      <c r="B29" s="192"/>
      <c r="C29" s="192"/>
      <c r="D29" s="193"/>
      <c r="F29" s="183" t="s">
        <v>52</v>
      </c>
      <c r="G29" s="184"/>
      <c r="H29" s="185"/>
      <c r="I29" s="18"/>
      <c r="J29" s="18"/>
      <c r="K29" s="18"/>
      <c r="L29" s="18"/>
      <c r="M29" s="19"/>
      <c r="N29" s="20"/>
    </row>
    <row r="30" spans="1:14" s="41" customFormat="1" ht="12.75" customHeight="1" x14ac:dyDescent="0.25">
      <c r="A30" s="21" t="s">
        <v>21</v>
      </c>
      <c r="B30" s="22" t="s">
        <v>22</v>
      </c>
      <c r="C30" s="22" t="s">
        <v>23</v>
      </c>
      <c r="D30" s="23" t="s">
        <v>25</v>
      </c>
      <c r="F30" s="186"/>
      <c r="G30" s="187"/>
      <c r="H30" s="188"/>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31"/>
      <c r="J44" s="29"/>
      <c r="K44" s="29"/>
      <c r="L44" s="131"/>
      <c r="M44" s="30"/>
      <c r="N44" s="16"/>
    </row>
    <row r="45" spans="1:14" x14ac:dyDescent="0.3">
      <c r="A45" s="106"/>
      <c r="B45" s="107"/>
      <c r="C45" s="107"/>
      <c r="D45" s="114"/>
      <c r="F45" s="103"/>
      <c r="G45" s="104"/>
      <c r="H45" s="109"/>
      <c r="I45" s="131"/>
      <c r="J45" s="29"/>
      <c r="K45" s="29"/>
      <c r="L45" s="131"/>
      <c r="M45" s="30"/>
      <c r="N45" s="16"/>
    </row>
    <row r="46" spans="1:14" s="34" customFormat="1" x14ac:dyDescent="0.3">
      <c r="A46" s="178" t="s">
        <v>54</v>
      </c>
      <c r="B46" s="179"/>
      <c r="C46" s="179"/>
      <c r="D46" s="96">
        <f>SUM(Tree_93[Amount])</f>
        <v>0</v>
      </c>
      <c r="F46" s="173" t="s">
        <v>33</v>
      </c>
      <c r="G46" s="174"/>
      <c r="H46" s="174"/>
      <c r="I46" s="43"/>
      <c r="J46" s="43"/>
      <c r="K46" s="43"/>
      <c r="L46" s="43"/>
      <c r="M46" s="36"/>
      <c r="N46" s="37"/>
    </row>
    <row r="47" spans="1:14" s="40" customFormat="1" ht="11.1" customHeight="1" x14ac:dyDescent="0.3">
      <c r="A47" s="38"/>
      <c r="B47" s="38"/>
      <c r="C47" s="38"/>
      <c r="D47" s="39"/>
      <c r="F47" s="173"/>
      <c r="G47" s="174"/>
      <c r="H47" s="174"/>
      <c r="I47" s="43"/>
      <c r="J47" s="43"/>
      <c r="K47" s="43"/>
      <c r="L47" s="43"/>
      <c r="M47" s="36"/>
      <c r="N47" s="37"/>
    </row>
    <row r="48" spans="1:14" s="17" customFormat="1" ht="23.1" customHeight="1" x14ac:dyDescent="0.3">
      <c r="A48" s="191" t="s">
        <v>68</v>
      </c>
      <c r="B48" s="192"/>
      <c r="C48" s="192"/>
      <c r="D48" s="193"/>
      <c r="F48" s="183" t="s">
        <v>55</v>
      </c>
      <c r="G48" s="184"/>
      <c r="H48" s="185"/>
      <c r="I48" s="44"/>
      <c r="J48" s="44"/>
      <c r="K48" s="44"/>
      <c r="L48" s="44"/>
      <c r="M48" s="19"/>
      <c r="N48" s="20"/>
    </row>
    <row r="49" spans="1:14" s="41" customFormat="1" ht="12.75" customHeight="1" x14ac:dyDescent="0.25">
      <c r="A49" s="21" t="s">
        <v>21</v>
      </c>
      <c r="B49" s="22" t="s">
        <v>22</v>
      </c>
      <c r="C49" s="22" t="s">
        <v>23</v>
      </c>
      <c r="D49" s="23" t="s">
        <v>25</v>
      </c>
      <c r="F49" s="186"/>
      <c r="G49" s="187"/>
      <c r="H49" s="188"/>
      <c r="I49" s="131"/>
      <c r="J49" s="131"/>
      <c r="K49" s="131"/>
      <c r="L49" s="131"/>
      <c r="M49" s="30"/>
      <c r="N49" s="42"/>
    </row>
    <row r="50" spans="1:14" x14ac:dyDescent="0.3">
      <c r="A50" s="100"/>
      <c r="B50" s="101"/>
      <c r="C50" s="101"/>
      <c r="D50" s="112"/>
      <c r="F50" s="103"/>
      <c r="G50" s="104"/>
      <c r="H50" s="109"/>
      <c r="I50" s="131"/>
      <c r="J50" s="131"/>
      <c r="K50" s="131"/>
      <c r="L50" s="131"/>
      <c r="M50" s="30"/>
      <c r="N50" s="16"/>
    </row>
    <row r="51" spans="1:14" x14ac:dyDescent="0.3">
      <c r="A51" s="106"/>
      <c r="B51" s="107"/>
      <c r="C51" s="107"/>
      <c r="D51" s="113"/>
      <c r="F51" s="103"/>
      <c r="G51" s="104"/>
      <c r="H51" s="109"/>
      <c r="I51" s="131"/>
      <c r="J51" s="131"/>
      <c r="K51" s="131"/>
      <c r="L51" s="131"/>
      <c r="M51" s="30"/>
      <c r="N51" s="16"/>
    </row>
    <row r="52" spans="1:14" x14ac:dyDescent="0.3">
      <c r="A52" s="106"/>
      <c r="B52" s="107"/>
      <c r="C52" s="107"/>
      <c r="D52" s="114"/>
      <c r="F52" s="103"/>
      <c r="H52" s="109"/>
      <c r="I52" s="131"/>
      <c r="J52" s="131"/>
      <c r="K52" s="131"/>
      <c r="L52" s="131"/>
      <c r="M52" s="30"/>
      <c r="N52" s="16"/>
    </row>
    <row r="53" spans="1:14" x14ac:dyDescent="0.3">
      <c r="A53" s="106"/>
      <c r="B53" s="107"/>
      <c r="C53" s="107"/>
      <c r="D53" s="113"/>
      <c r="F53" s="103"/>
      <c r="G53" s="104"/>
      <c r="H53" s="109"/>
      <c r="I53" s="131"/>
      <c r="J53" s="131"/>
      <c r="K53" s="131"/>
      <c r="L53" s="131"/>
      <c r="M53" s="30"/>
      <c r="N53" s="16"/>
    </row>
    <row r="54" spans="1:14" x14ac:dyDescent="0.3">
      <c r="A54" s="106"/>
      <c r="B54" s="107"/>
      <c r="C54" s="107"/>
      <c r="D54" s="114"/>
      <c r="F54" s="103"/>
      <c r="G54" s="104"/>
      <c r="H54" s="109"/>
      <c r="I54" s="131"/>
      <c r="J54" s="131"/>
      <c r="K54" s="131"/>
      <c r="L54" s="131"/>
      <c r="M54" s="30"/>
      <c r="N54" s="16"/>
    </row>
    <row r="55" spans="1:14" x14ac:dyDescent="0.3">
      <c r="A55" s="106"/>
      <c r="B55" s="107"/>
      <c r="C55" s="107"/>
      <c r="D55" s="113"/>
      <c r="F55" s="103"/>
      <c r="G55" s="104"/>
      <c r="H55" s="109"/>
      <c r="I55" s="131"/>
      <c r="J55" s="131"/>
      <c r="K55" s="131"/>
      <c r="L55" s="131"/>
      <c r="M55" s="30"/>
      <c r="N55" s="16"/>
    </row>
    <row r="56" spans="1:14" x14ac:dyDescent="0.3">
      <c r="A56" s="106"/>
      <c r="B56" s="107"/>
      <c r="C56" s="107"/>
      <c r="D56" s="114"/>
      <c r="F56" s="103"/>
      <c r="G56" s="104"/>
      <c r="H56" s="109"/>
      <c r="I56" s="131"/>
      <c r="J56" s="131"/>
      <c r="K56" s="131"/>
      <c r="L56" s="131"/>
      <c r="M56" s="30"/>
      <c r="N56" s="16"/>
    </row>
    <row r="57" spans="1:14" x14ac:dyDescent="0.3">
      <c r="A57" s="106"/>
      <c r="B57" s="107"/>
      <c r="C57" s="107"/>
      <c r="D57" s="113"/>
      <c r="F57" s="103"/>
      <c r="G57" s="104"/>
      <c r="H57" s="109"/>
      <c r="I57" s="131"/>
      <c r="J57" s="131"/>
      <c r="K57" s="131"/>
      <c r="L57" s="131"/>
      <c r="M57" s="30"/>
      <c r="N57" s="16"/>
    </row>
    <row r="58" spans="1:14" x14ac:dyDescent="0.3">
      <c r="A58" s="106"/>
      <c r="B58" s="107"/>
      <c r="C58" s="107"/>
      <c r="D58" s="114"/>
      <c r="F58" s="103"/>
      <c r="G58" s="104"/>
      <c r="H58" s="109"/>
      <c r="I58" s="131"/>
      <c r="J58" s="131"/>
      <c r="K58" s="131"/>
      <c r="L58" s="131"/>
      <c r="M58" s="30"/>
      <c r="N58" s="16"/>
    </row>
    <row r="59" spans="1:14" x14ac:dyDescent="0.3">
      <c r="A59" s="106"/>
      <c r="B59" s="107"/>
      <c r="C59" s="107"/>
      <c r="D59" s="113"/>
      <c r="F59" s="103"/>
      <c r="G59" s="104"/>
      <c r="H59" s="109"/>
      <c r="I59" s="131"/>
      <c r="J59" s="190"/>
      <c r="K59" s="190"/>
      <c r="L59" s="131"/>
      <c r="M59" s="30"/>
      <c r="N59" s="16"/>
    </row>
    <row r="60" spans="1:14" x14ac:dyDescent="0.3">
      <c r="A60" s="106"/>
      <c r="B60" s="107"/>
      <c r="C60" s="107"/>
      <c r="D60" s="114"/>
      <c r="F60" s="103"/>
      <c r="G60" s="104"/>
      <c r="H60" s="109"/>
      <c r="I60" s="189"/>
      <c r="J60" s="189"/>
      <c r="K60" s="189"/>
      <c r="L60" s="189"/>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78" t="s">
        <v>56</v>
      </c>
      <c r="B65" s="179"/>
      <c r="C65" s="179"/>
      <c r="D65" s="96">
        <f>SUM(Pest_93[Amount])</f>
        <v>0</v>
      </c>
      <c r="F65" s="173" t="s">
        <v>33</v>
      </c>
      <c r="G65" s="174"/>
      <c r="H65" s="174"/>
    </row>
    <row r="66" spans="1:8" x14ac:dyDescent="0.3">
      <c r="F66" s="173"/>
      <c r="G66" s="174"/>
      <c r="H66" s="174"/>
    </row>
    <row r="67" spans="1:8" ht="17.399999999999999" x14ac:dyDescent="0.3">
      <c r="A67" s="198" t="s">
        <v>69</v>
      </c>
      <c r="B67" s="198"/>
      <c r="C67" s="198"/>
      <c r="D67" s="198"/>
      <c r="E67" s="17"/>
      <c r="F67" s="183" t="s">
        <v>57</v>
      </c>
      <c r="G67" s="184"/>
      <c r="H67" s="185"/>
    </row>
    <row r="68" spans="1:8" x14ac:dyDescent="0.3">
      <c r="A68" s="21" t="s">
        <v>21</v>
      </c>
      <c r="B68" s="22" t="s">
        <v>22</v>
      </c>
      <c r="C68" s="22" t="s">
        <v>23</v>
      </c>
      <c r="D68" s="23" t="s">
        <v>25</v>
      </c>
      <c r="E68" s="24"/>
      <c r="F68" s="186"/>
      <c r="G68" s="187"/>
      <c r="H68" s="188"/>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78" t="s">
        <v>58</v>
      </c>
      <c r="B84" s="179"/>
      <c r="C84" s="179"/>
      <c r="D84" s="96">
        <f>SUM(Garbage_93[Amount])</f>
        <v>0</v>
      </c>
      <c r="E84" s="34"/>
      <c r="F84" s="173" t="s">
        <v>33</v>
      </c>
      <c r="G84" s="174"/>
      <c r="H84" s="174"/>
    </row>
    <row r="85" spans="1:8" x14ac:dyDescent="0.3">
      <c r="A85" s="38"/>
      <c r="B85" s="38"/>
      <c r="C85" s="38"/>
      <c r="D85" s="39"/>
      <c r="E85" s="40"/>
      <c r="F85" s="173"/>
      <c r="G85" s="174"/>
      <c r="H85" s="174"/>
    </row>
    <row r="86" spans="1:8" ht="17.399999999999999" x14ac:dyDescent="0.3">
      <c r="A86" s="191" t="s">
        <v>59</v>
      </c>
      <c r="B86" s="192"/>
      <c r="C86" s="192"/>
      <c r="D86" s="193"/>
      <c r="E86" s="17"/>
      <c r="F86" s="183" t="s">
        <v>60</v>
      </c>
      <c r="G86" s="184"/>
      <c r="H86" s="185"/>
    </row>
    <row r="87" spans="1:8" x14ac:dyDescent="0.3">
      <c r="A87" s="21" t="s">
        <v>21</v>
      </c>
      <c r="B87" s="22" t="s">
        <v>22</v>
      </c>
      <c r="C87" s="22" t="s">
        <v>23</v>
      </c>
      <c r="D87" s="23" t="s">
        <v>25</v>
      </c>
      <c r="E87" s="41"/>
      <c r="F87" s="186"/>
      <c r="G87" s="187"/>
      <c r="H87" s="188"/>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78" t="s">
        <v>61</v>
      </c>
      <c r="B103" s="179"/>
      <c r="C103" s="179"/>
      <c r="D103" s="96">
        <f>SUM(Boarding_93[Amount])</f>
        <v>0</v>
      </c>
      <c r="E103" s="34"/>
      <c r="F103" s="173" t="s">
        <v>33</v>
      </c>
      <c r="G103" s="174"/>
      <c r="H103" s="174"/>
    </row>
    <row r="104" spans="1:8" x14ac:dyDescent="0.3">
      <c r="A104" s="38"/>
      <c r="B104" s="38"/>
      <c r="C104" s="38"/>
      <c r="D104" s="39"/>
      <c r="E104" s="40"/>
      <c r="F104" s="173"/>
      <c r="G104" s="174"/>
      <c r="H104" s="174"/>
    </row>
    <row r="105" spans="1:8" ht="17.399999999999999" x14ac:dyDescent="0.3">
      <c r="A105" s="191" t="s">
        <v>70</v>
      </c>
      <c r="B105" s="192"/>
      <c r="C105" s="192"/>
      <c r="D105" s="193"/>
      <c r="E105" s="17"/>
      <c r="F105" s="183" t="s">
        <v>62</v>
      </c>
      <c r="G105" s="184"/>
      <c r="H105" s="185"/>
    </row>
    <row r="106" spans="1:8" x14ac:dyDescent="0.3">
      <c r="A106" s="21" t="s">
        <v>21</v>
      </c>
      <c r="B106" s="22" t="s">
        <v>22</v>
      </c>
      <c r="C106" s="22" t="s">
        <v>23</v>
      </c>
      <c r="D106" s="23" t="s">
        <v>25</v>
      </c>
      <c r="E106" s="41"/>
      <c r="F106" s="186"/>
      <c r="G106" s="187"/>
      <c r="H106" s="188"/>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78" t="s">
        <v>63</v>
      </c>
      <c r="B122" s="179"/>
      <c r="C122" s="179"/>
      <c r="D122" s="96">
        <f>SUM(Fence_93[Amount])</f>
        <v>0</v>
      </c>
      <c r="E122" s="34"/>
      <c r="F122" s="173" t="s">
        <v>33</v>
      </c>
      <c r="G122" s="174"/>
      <c r="H122" s="174"/>
    </row>
    <row r="123" spans="1:8" x14ac:dyDescent="0.3">
      <c r="F123" s="173"/>
      <c r="G123" s="174"/>
      <c r="H123" s="174"/>
    </row>
    <row r="124" spans="1:8" ht="17.399999999999999" x14ac:dyDescent="0.3">
      <c r="A124" s="191" t="s">
        <v>26</v>
      </c>
      <c r="B124" s="192"/>
      <c r="C124" s="192"/>
      <c r="D124" s="193"/>
      <c r="E124" s="17"/>
      <c r="F124" s="183" t="s">
        <v>11</v>
      </c>
      <c r="G124" s="184"/>
      <c r="H124" s="185"/>
    </row>
    <row r="125" spans="1:8" x14ac:dyDescent="0.3">
      <c r="A125" s="21" t="s">
        <v>21</v>
      </c>
      <c r="B125" s="22" t="s">
        <v>22</v>
      </c>
      <c r="C125" s="22" t="s">
        <v>23</v>
      </c>
      <c r="D125" s="23" t="s">
        <v>25</v>
      </c>
      <c r="E125" s="41"/>
      <c r="F125" s="186"/>
      <c r="G125" s="187"/>
      <c r="H125" s="188"/>
    </row>
    <row r="126" spans="1:8" x14ac:dyDescent="0.3">
      <c r="A126" s="100"/>
      <c r="B126" s="101"/>
      <c r="C126" s="101"/>
      <c r="D126" s="112">
        <v>21210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78" t="s">
        <v>27</v>
      </c>
      <c r="B141" s="179"/>
      <c r="C141" s="179"/>
      <c r="D141" s="96">
        <f>SUM(Demolition_93[Amount])</f>
        <v>21210</v>
      </c>
      <c r="E141" s="34"/>
      <c r="F141" s="173" t="s">
        <v>33</v>
      </c>
      <c r="G141" s="174"/>
      <c r="H141" s="174"/>
    </row>
    <row r="142" spans="1:8" x14ac:dyDescent="0.3">
      <c r="A142" s="38"/>
      <c r="B142" s="38"/>
      <c r="C142" s="38"/>
      <c r="D142" s="39"/>
      <c r="E142" s="40"/>
      <c r="F142" s="173"/>
      <c r="G142" s="174"/>
      <c r="H142" s="174"/>
    </row>
    <row r="143" spans="1:8" ht="17.399999999999999" x14ac:dyDescent="0.3">
      <c r="A143" s="191" t="s">
        <v>64</v>
      </c>
      <c r="B143" s="192"/>
      <c r="C143" s="192"/>
      <c r="D143" s="193"/>
      <c r="E143" s="17"/>
      <c r="F143" s="183" t="s">
        <v>44</v>
      </c>
      <c r="G143" s="184"/>
      <c r="H143" s="185"/>
    </row>
    <row r="144" spans="1:8" x14ac:dyDescent="0.3">
      <c r="A144" s="21" t="s">
        <v>21</v>
      </c>
      <c r="B144" s="22" t="s">
        <v>22</v>
      </c>
      <c r="C144" s="22" t="s">
        <v>23</v>
      </c>
      <c r="D144" s="23" t="s">
        <v>25</v>
      </c>
      <c r="E144" s="41"/>
      <c r="F144" s="186"/>
      <c r="G144" s="187"/>
      <c r="H144" s="188"/>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78" t="s">
        <v>65</v>
      </c>
      <c r="B160" s="179"/>
      <c r="C160" s="179"/>
      <c r="D160" s="96">
        <f>SUM(Rehab_93[Amount])</f>
        <v>0</v>
      </c>
      <c r="E160" s="34"/>
      <c r="F160" s="173" t="s">
        <v>33</v>
      </c>
      <c r="G160" s="174"/>
      <c r="H160" s="174"/>
    </row>
    <row r="161" spans="6:8" x14ac:dyDescent="0.3">
      <c r="F161" s="173"/>
      <c r="G161" s="174"/>
      <c r="H161" s="174"/>
    </row>
  </sheetData>
  <sheetProtection algorithmName="SHA-512" hashValue="1+ZpHcqkVYsk5J3Q0FNVaxumcenbFKYyRlCjF9Pxof6mHpBCPF9i77PJL/cMG1cAFXQNrHKgvqcA7jRFsnNM1w==" saltValue="ger63yI5e+wOYJ0FzUSeuQ=="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61"/>
  <sheetViews>
    <sheetView showGridLines="0" zoomScaleNormal="100" workbookViewId="0">
      <pane ySplit="9" topLeftCell="A112"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5" t="s">
        <v>24</v>
      </c>
      <c r="B1" s="175"/>
      <c r="C1" s="175"/>
      <c r="D1" s="175"/>
      <c r="E1" s="1"/>
      <c r="F1" s="2"/>
      <c r="G1" s="2"/>
      <c r="H1" s="1"/>
    </row>
    <row r="2" spans="1:14" ht="24.9" customHeight="1" x14ac:dyDescent="0.3">
      <c r="A2" s="176" t="s">
        <v>71</v>
      </c>
      <c r="B2" s="176"/>
      <c r="C2" s="176"/>
      <c r="D2" s="176"/>
      <c r="E2" s="4"/>
      <c r="F2" s="130"/>
      <c r="G2" s="130"/>
      <c r="H2" s="5"/>
    </row>
    <row r="3" spans="1:14" ht="31.5" customHeight="1" x14ac:dyDescent="0.3">
      <c r="A3" s="176"/>
      <c r="B3" s="176"/>
      <c r="C3" s="176"/>
      <c r="D3" s="176"/>
      <c r="E3" s="4"/>
      <c r="F3" s="130"/>
      <c r="G3" s="130"/>
      <c r="H3" s="5"/>
    </row>
    <row r="4" spans="1:14" ht="15" customHeight="1" x14ac:dyDescent="0.25">
      <c r="A4" s="75" t="s">
        <v>19</v>
      </c>
      <c r="B4" s="194" t="str">
        <f>IF('Summary Sheet'!B126="","",'Summary Sheet'!B126)</f>
        <v>3916 W LEXINGTON BLVD</v>
      </c>
      <c r="C4" s="194"/>
      <c r="D4" s="130"/>
      <c r="E4" s="4"/>
      <c r="F4" s="130"/>
      <c r="G4" s="130"/>
      <c r="H4" s="5"/>
    </row>
    <row r="5" spans="1:14" ht="15" customHeight="1" x14ac:dyDescent="0.25">
      <c r="A5" s="75" t="s">
        <v>20</v>
      </c>
      <c r="B5" s="195" t="str">
        <f>IF('Summary Sheet'!C126="","",'Summary Sheet'!C126)</f>
        <v/>
      </c>
      <c r="C5" s="195"/>
      <c r="D5" s="130"/>
      <c r="E5" s="4"/>
      <c r="F5" s="130"/>
      <c r="G5" s="130"/>
      <c r="H5" s="5"/>
    </row>
    <row r="6" spans="1:14" ht="15" customHeight="1" x14ac:dyDescent="0.25">
      <c r="A6" s="75" t="s">
        <v>36</v>
      </c>
      <c r="B6" s="177"/>
      <c r="C6" s="177"/>
      <c r="D6" s="6"/>
      <c r="E6" s="7"/>
    </row>
    <row r="7" spans="1:14" ht="15" customHeight="1" x14ac:dyDescent="0.25">
      <c r="A7" s="7"/>
      <c r="B7" s="196" t="s">
        <v>34</v>
      </c>
      <c r="C7" s="196"/>
      <c r="D7" s="10"/>
    </row>
    <row r="8" spans="1:14" ht="20.100000000000001" customHeight="1" x14ac:dyDescent="0.25">
      <c r="B8" s="11"/>
      <c r="C8" s="11"/>
      <c r="D8" s="12" t="s">
        <v>31</v>
      </c>
      <c r="F8" s="180" t="s">
        <v>32</v>
      </c>
      <c r="G8" s="181"/>
      <c r="H8" s="182"/>
    </row>
    <row r="9" spans="1:14" s="14" customFormat="1" ht="20.100000000000001" customHeight="1" x14ac:dyDescent="0.25">
      <c r="A9" s="197"/>
      <c r="B9" s="197"/>
      <c r="C9" s="197"/>
      <c r="D9" s="13">
        <f>SUM(D27,D46,D65,D84,D103,D122,D141,D160)</f>
        <v>34810</v>
      </c>
      <c r="F9" s="15" t="s">
        <v>28</v>
      </c>
      <c r="G9" s="15" t="s">
        <v>29</v>
      </c>
      <c r="H9" s="15" t="s">
        <v>30</v>
      </c>
      <c r="I9" s="16"/>
      <c r="J9" s="16"/>
      <c r="K9" s="16"/>
      <c r="L9" s="16"/>
      <c r="M9" s="16"/>
      <c r="N9" s="16"/>
    </row>
    <row r="10" spans="1:14" s="17" customFormat="1" ht="23.1" customHeight="1" x14ac:dyDescent="0.3">
      <c r="A10" s="198" t="s">
        <v>51</v>
      </c>
      <c r="B10" s="198"/>
      <c r="C10" s="198"/>
      <c r="D10" s="198"/>
      <c r="F10" s="183" t="s">
        <v>66</v>
      </c>
      <c r="G10" s="184"/>
      <c r="H10" s="185"/>
      <c r="I10" s="18"/>
      <c r="J10" s="18"/>
      <c r="K10" s="18"/>
      <c r="L10" s="18"/>
      <c r="M10" s="19"/>
      <c r="N10" s="20"/>
    </row>
    <row r="11" spans="1:14" s="24" customFormat="1" ht="12.75" customHeight="1" x14ac:dyDescent="0.25">
      <c r="A11" s="21" t="s">
        <v>21</v>
      </c>
      <c r="B11" s="22" t="s">
        <v>22</v>
      </c>
      <c r="C11" s="22" t="s">
        <v>23</v>
      </c>
      <c r="D11" s="23" t="s">
        <v>25</v>
      </c>
      <c r="F11" s="186"/>
      <c r="G11" s="187"/>
      <c r="H11" s="188"/>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78" t="s">
        <v>53</v>
      </c>
      <c r="B27" s="179"/>
      <c r="C27" s="179"/>
      <c r="D27" s="96">
        <f>SUM(Grass_94[Amount])</f>
        <v>0</v>
      </c>
      <c r="F27" s="173" t="s">
        <v>33</v>
      </c>
      <c r="G27" s="174"/>
      <c r="H27" s="174"/>
      <c r="I27" s="35"/>
      <c r="J27" s="35"/>
      <c r="K27" s="35"/>
      <c r="L27" s="35"/>
      <c r="M27" s="36"/>
      <c r="N27" s="37"/>
    </row>
    <row r="28" spans="1:14" s="40" customFormat="1" ht="11.1" customHeight="1" x14ac:dyDescent="0.3">
      <c r="A28" s="38"/>
      <c r="B28" s="38"/>
      <c r="C28" s="38"/>
      <c r="D28" s="39"/>
      <c r="F28" s="173"/>
      <c r="G28" s="174"/>
      <c r="H28" s="174"/>
      <c r="I28" s="35"/>
      <c r="J28" s="35"/>
      <c r="K28" s="35"/>
      <c r="L28" s="35"/>
      <c r="M28" s="36"/>
      <c r="N28" s="37"/>
    </row>
    <row r="29" spans="1:14" s="17" customFormat="1" ht="23.1" customHeight="1" x14ac:dyDescent="0.3">
      <c r="A29" s="191" t="s">
        <v>67</v>
      </c>
      <c r="B29" s="192"/>
      <c r="C29" s="192"/>
      <c r="D29" s="193"/>
      <c r="F29" s="183" t="s">
        <v>52</v>
      </c>
      <c r="G29" s="184"/>
      <c r="H29" s="185"/>
      <c r="I29" s="18"/>
      <c r="J29" s="18"/>
      <c r="K29" s="18"/>
      <c r="L29" s="18"/>
      <c r="M29" s="19"/>
      <c r="N29" s="20"/>
    </row>
    <row r="30" spans="1:14" s="41" customFormat="1" ht="12.75" customHeight="1" x14ac:dyDescent="0.25">
      <c r="A30" s="21" t="s">
        <v>21</v>
      </c>
      <c r="B30" s="22" t="s">
        <v>22</v>
      </c>
      <c r="C30" s="22" t="s">
        <v>23</v>
      </c>
      <c r="D30" s="23" t="s">
        <v>25</v>
      </c>
      <c r="F30" s="186"/>
      <c r="G30" s="187"/>
      <c r="H30" s="188"/>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31"/>
      <c r="J44" s="29"/>
      <c r="K44" s="29"/>
      <c r="L44" s="131"/>
      <c r="M44" s="30"/>
      <c r="N44" s="16"/>
    </row>
    <row r="45" spans="1:14" x14ac:dyDescent="0.3">
      <c r="A45" s="106"/>
      <c r="B45" s="107"/>
      <c r="C45" s="107"/>
      <c r="D45" s="114"/>
      <c r="F45" s="103"/>
      <c r="G45" s="104"/>
      <c r="H45" s="109"/>
      <c r="I45" s="131"/>
      <c r="J45" s="29"/>
      <c r="K45" s="29"/>
      <c r="L45" s="131"/>
      <c r="M45" s="30"/>
      <c r="N45" s="16"/>
    </row>
    <row r="46" spans="1:14" s="34" customFormat="1" x14ac:dyDescent="0.3">
      <c r="A46" s="178" t="s">
        <v>54</v>
      </c>
      <c r="B46" s="179"/>
      <c r="C46" s="179"/>
      <c r="D46" s="96">
        <f>SUM(Tree_94[Amount])</f>
        <v>0</v>
      </c>
      <c r="F46" s="173" t="s">
        <v>33</v>
      </c>
      <c r="G46" s="174"/>
      <c r="H46" s="174"/>
      <c r="I46" s="43"/>
      <c r="J46" s="43"/>
      <c r="K46" s="43"/>
      <c r="L46" s="43"/>
      <c r="M46" s="36"/>
      <c r="N46" s="37"/>
    </row>
    <row r="47" spans="1:14" s="40" customFormat="1" ht="11.1" customHeight="1" x14ac:dyDescent="0.3">
      <c r="A47" s="38"/>
      <c r="B47" s="38"/>
      <c r="C47" s="38"/>
      <c r="D47" s="39"/>
      <c r="F47" s="173"/>
      <c r="G47" s="174"/>
      <c r="H47" s="174"/>
      <c r="I47" s="43"/>
      <c r="J47" s="43"/>
      <c r="K47" s="43"/>
      <c r="L47" s="43"/>
      <c r="M47" s="36"/>
      <c r="N47" s="37"/>
    </row>
    <row r="48" spans="1:14" s="17" customFormat="1" ht="23.1" customHeight="1" x14ac:dyDescent="0.3">
      <c r="A48" s="191" t="s">
        <v>68</v>
      </c>
      <c r="B48" s="192"/>
      <c r="C48" s="192"/>
      <c r="D48" s="193"/>
      <c r="F48" s="183" t="s">
        <v>55</v>
      </c>
      <c r="G48" s="184"/>
      <c r="H48" s="185"/>
      <c r="I48" s="44"/>
      <c r="J48" s="44"/>
      <c r="K48" s="44"/>
      <c r="L48" s="44"/>
      <c r="M48" s="19"/>
      <c r="N48" s="20"/>
    </row>
    <row r="49" spans="1:14" s="41" customFormat="1" ht="12.75" customHeight="1" x14ac:dyDescent="0.25">
      <c r="A49" s="21" t="s">
        <v>21</v>
      </c>
      <c r="B49" s="22" t="s">
        <v>22</v>
      </c>
      <c r="C49" s="22" t="s">
        <v>23</v>
      </c>
      <c r="D49" s="23" t="s">
        <v>25</v>
      </c>
      <c r="F49" s="186"/>
      <c r="G49" s="187"/>
      <c r="H49" s="188"/>
      <c r="I49" s="131"/>
      <c r="J49" s="131"/>
      <c r="K49" s="131"/>
      <c r="L49" s="131"/>
      <c r="M49" s="30"/>
      <c r="N49" s="42"/>
    </row>
    <row r="50" spans="1:14" x14ac:dyDescent="0.3">
      <c r="A50" s="100"/>
      <c r="B50" s="101"/>
      <c r="C50" s="101"/>
      <c r="D50" s="112"/>
      <c r="F50" s="103"/>
      <c r="G50" s="104"/>
      <c r="H50" s="109"/>
      <c r="I50" s="131"/>
      <c r="J50" s="131"/>
      <c r="K50" s="131"/>
      <c r="L50" s="131"/>
      <c r="M50" s="30"/>
      <c r="N50" s="16"/>
    </row>
    <row r="51" spans="1:14" x14ac:dyDescent="0.3">
      <c r="A51" s="106"/>
      <c r="B51" s="107"/>
      <c r="C51" s="107"/>
      <c r="D51" s="113"/>
      <c r="F51" s="103"/>
      <c r="G51" s="104"/>
      <c r="H51" s="109"/>
      <c r="I51" s="131"/>
      <c r="J51" s="131"/>
      <c r="K51" s="131"/>
      <c r="L51" s="131"/>
      <c r="M51" s="30"/>
      <c r="N51" s="16"/>
    </row>
    <row r="52" spans="1:14" x14ac:dyDescent="0.3">
      <c r="A52" s="106"/>
      <c r="B52" s="107"/>
      <c r="C52" s="107"/>
      <c r="D52" s="114"/>
      <c r="F52" s="103"/>
      <c r="H52" s="109"/>
      <c r="I52" s="131"/>
      <c r="J52" s="131"/>
      <c r="K52" s="131"/>
      <c r="L52" s="131"/>
      <c r="M52" s="30"/>
      <c r="N52" s="16"/>
    </row>
    <row r="53" spans="1:14" x14ac:dyDescent="0.3">
      <c r="A53" s="106"/>
      <c r="B53" s="107"/>
      <c r="C53" s="107"/>
      <c r="D53" s="113"/>
      <c r="F53" s="103"/>
      <c r="G53" s="104"/>
      <c r="H53" s="109"/>
      <c r="I53" s="131"/>
      <c r="J53" s="131"/>
      <c r="K53" s="131"/>
      <c r="L53" s="131"/>
      <c r="M53" s="30"/>
      <c r="N53" s="16"/>
    </row>
    <row r="54" spans="1:14" x14ac:dyDescent="0.3">
      <c r="A54" s="106"/>
      <c r="B54" s="107"/>
      <c r="C54" s="107"/>
      <c r="D54" s="114"/>
      <c r="F54" s="103"/>
      <c r="G54" s="104"/>
      <c r="H54" s="109"/>
      <c r="I54" s="131"/>
      <c r="J54" s="131"/>
      <c r="K54" s="131"/>
      <c r="L54" s="131"/>
      <c r="M54" s="30"/>
      <c r="N54" s="16"/>
    </row>
    <row r="55" spans="1:14" x14ac:dyDescent="0.3">
      <c r="A55" s="106"/>
      <c r="B55" s="107"/>
      <c r="C55" s="107"/>
      <c r="D55" s="113"/>
      <c r="F55" s="103"/>
      <c r="G55" s="104"/>
      <c r="H55" s="109"/>
      <c r="I55" s="131"/>
      <c r="J55" s="131"/>
      <c r="K55" s="131"/>
      <c r="L55" s="131"/>
      <c r="M55" s="30"/>
      <c r="N55" s="16"/>
    </row>
    <row r="56" spans="1:14" x14ac:dyDescent="0.3">
      <c r="A56" s="106"/>
      <c r="B56" s="107"/>
      <c r="C56" s="107"/>
      <c r="D56" s="114"/>
      <c r="F56" s="103"/>
      <c r="G56" s="104"/>
      <c r="H56" s="109"/>
      <c r="I56" s="131"/>
      <c r="J56" s="131"/>
      <c r="K56" s="131"/>
      <c r="L56" s="131"/>
      <c r="M56" s="30"/>
      <c r="N56" s="16"/>
    </row>
    <row r="57" spans="1:14" x14ac:dyDescent="0.3">
      <c r="A57" s="106"/>
      <c r="B57" s="107"/>
      <c r="C57" s="107"/>
      <c r="D57" s="113"/>
      <c r="F57" s="103"/>
      <c r="G57" s="104"/>
      <c r="H57" s="109"/>
      <c r="I57" s="131"/>
      <c r="J57" s="131"/>
      <c r="K57" s="131"/>
      <c r="L57" s="131"/>
      <c r="M57" s="30"/>
      <c r="N57" s="16"/>
    </row>
    <row r="58" spans="1:14" x14ac:dyDescent="0.3">
      <c r="A58" s="106"/>
      <c r="B58" s="107"/>
      <c r="C58" s="107"/>
      <c r="D58" s="114"/>
      <c r="F58" s="103"/>
      <c r="G58" s="104"/>
      <c r="H58" s="109"/>
      <c r="I58" s="131"/>
      <c r="J58" s="131"/>
      <c r="K58" s="131"/>
      <c r="L58" s="131"/>
      <c r="M58" s="30"/>
      <c r="N58" s="16"/>
    </row>
    <row r="59" spans="1:14" x14ac:dyDescent="0.3">
      <c r="A59" s="106"/>
      <c r="B59" s="107"/>
      <c r="C59" s="107"/>
      <c r="D59" s="113"/>
      <c r="F59" s="103"/>
      <c r="G59" s="104"/>
      <c r="H59" s="109"/>
      <c r="I59" s="131"/>
      <c r="J59" s="190"/>
      <c r="K59" s="190"/>
      <c r="L59" s="131"/>
      <c r="M59" s="30"/>
      <c r="N59" s="16"/>
    </row>
    <row r="60" spans="1:14" x14ac:dyDescent="0.3">
      <c r="A60" s="106"/>
      <c r="B60" s="107"/>
      <c r="C60" s="107"/>
      <c r="D60" s="114"/>
      <c r="F60" s="103"/>
      <c r="G60" s="104"/>
      <c r="H60" s="109"/>
      <c r="I60" s="189"/>
      <c r="J60" s="189"/>
      <c r="K60" s="189"/>
      <c r="L60" s="189"/>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78" t="s">
        <v>56</v>
      </c>
      <c r="B65" s="179"/>
      <c r="C65" s="179"/>
      <c r="D65" s="96">
        <f>SUM(Pest_94[Amount])</f>
        <v>0</v>
      </c>
      <c r="F65" s="173" t="s">
        <v>33</v>
      </c>
      <c r="G65" s="174"/>
      <c r="H65" s="174"/>
    </row>
    <row r="66" spans="1:8" x14ac:dyDescent="0.3">
      <c r="F66" s="173"/>
      <c r="G66" s="174"/>
      <c r="H66" s="174"/>
    </row>
    <row r="67" spans="1:8" ht="17.399999999999999" x14ac:dyDescent="0.3">
      <c r="A67" s="198" t="s">
        <v>69</v>
      </c>
      <c r="B67" s="198"/>
      <c r="C67" s="198"/>
      <c r="D67" s="198"/>
      <c r="E67" s="17"/>
      <c r="F67" s="183" t="s">
        <v>57</v>
      </c>
      <c r="G67" s="184"/>
      <c r="H67" s="185"/>
    </row>
    <row r="68" spans="1:8" x14ac:dyDescent="0.3">
      <c r="A68" s="21" t="s">
        <v>21</v>
      </c>
      <c r="B68" s="22" t="s">
        <v>22</v>
      </c>
      <c r="C68" s="22" t="s">
        <v>23</v>
      </c>
      <c r="D68" s="23" t="s">
        <v>25</v>
      </c>
      <c r="E68" s="24"/>
      <c r="F68" s="186"/>
      <c r="G68" s="187"/>
      <c r="H68" s="188"/>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78" t="s">
        <v>58</v>
      </c>
      <c r="B84" s="179"/>
      <c r="C84" s="179"/>
      <c r="D84" s="96">
        <f>SUM(Garbage_94[Amount])</f>
        <v>0</v>
      </c>
      <c r="E84" s="34"/>
      <c r="F84" s="173" t="s">
        <v>33</v>
      </c>
      <c r="G84" s="174"/>
      <c r="H84" s="174"/>
    </row>
    <row r="85" spans="1:8" x14ac:dyDescent="0.3">
      <c r="A85" s="38"/>
      <c r="B85" s="38"/>
      <c r="C85" s="38"/>
      <c r="D85" s="39"/>
      <c r="E85" s="40"/>
      <c r="F85" s="173"/>
      <c r="G85" s="174"/>
      <c r="H85" s="174"/>
    </row>
    <row r="86" spans="1:8" ht="17.399999999999999" x14ac:dyDescent="0.3">
      <c r="A86" s="191" t="s">
        <v>59</v>
      </c>
      <c r="B86" s="192"/>
      <c r="C86" s="192"/>
      <c r="D86" s="193"/>
      <c r="E86" s="17"/>
      <c r="F86" s="183" t="s">
        <v>60</v>
      </c>
      <c r="G86" s="184"/>
      <c r="H86" s="185"/>
    </row>
    <row r="87" spans="1:8" x14ac:dyDescent="0.3">
      <c r="A87" s="21" t="s">
        <v>21</v>
      </c>
      <c r="B87" s="22" t="s">
        <v>22</v>
      </c>
      <c r="C87" s="22" t="s">
        <v>23</v>
      </c>
      <c r="D87" s="23" t="s">
        <v>25</v>
      </c>
      <c r="E87" s="41"/>
      <c r="F87" s="186"/>
      <c r="G87" s="187"/>
      <c r="H87" s="188"/>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78" t="s">
        <v>61</v>
      </c>
      <c r="B103" s="179"/>
      <c r="C103" s="179"/>
      <c r="D103" s="96">
        <f>SUM(Boarding_94[Amount])</f>
        <v>0</v>
      </c>
      <c r="E103" s="34"/>
      <c r="F103" s="173" t="s">
        <v>33</v>
      </c>
      <c r="G103" s="174"/>
      <c r="H103" s="174"/>
    </row>
    <row r="104" spans="1:8" x14ac:dyDescent="0.3">
      <c r="A104" s="38"/>
      <c r="B104" s="38"/>
      <c r="C104" s="38"/>
      <c r="D104" s="39"/>
      <c r="E104" s="40"/>
      <c r="F104" s="173"/>
      <c r="G104" s="174"/>
      <c r="H104" s="174"/>
    </row>
    <row r="105" spans="1:8" ht="17.399999999999999" x14ac:dyDescent="0.3">
      <c r="A105" s="191" t="s">
        <v>70</v>
      </c>
      <c r="B105" s="192"/>
      <c r="C105" s="192"/>
      <c r="D105" s="193"/>
      <c r="E105" s="17"/>
      <c r="F105" s="183" t="s">
        <v>62</v>
      </c>
      <c r="G105" s="184"/>
      <c r="H105" s="185"/>
    </row>
    <row r="106" spans="1:8" x14ac:dyDescent="0.3">
      <c r="A106" s="21" t="s">
        <v>21</v>
      </c>
      <c r="B106" s="22" t="s">
        <v>22</v>
      </c>
      <c r="C106" s="22" t="s">
        <v>23</v>
      </c>
      <c r="D106" s="23" t="s">
        <v>25</v>
      </c>
      <c r="E106" s="41"/>
      <c r="F106" s="186"/>
      <c r="G106" s="187"/>
      <c r="H106" s="188"/>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78" t="s">
        <v>63</v>
      </c>
      <c r="B122" s="179"/>
      <c r="C122" s="179"/>
      <c r="D122" s="96">
        <f>SUM(Fence_94[Amount])</f>
        <v>0</v>
      </c>
      <c r="E122" s="34"/>
      <c r="F122" s="173" t="s">
        <v>33</v>
      </c>
      <c r="G122" s="174"/>
      <c r="H122" s="174"/>
    </row>
    <row r="123" spans="1:8" x14ac:dyDescent="0.3">
      <c r="F123" s="173"/>
      <c r="G123" s="174"/>
      <c r="H123" s="174"/>
    </row>
    <row r="124" spans="1:8" ht="17.399999999999999" x14ac:dyDescent="0.3">
      <c r="A124" s="191" t="s">
        <v>26</v>
      </c>
      <c r="B124" s="192"/>
      <c r="C124" s="192"/>
      <c r="D124" s="193"/>
      <c r="E124" s="17"/>
      <c r="F124" s="183" t="s">
        <v>11</v>
      </c>
      <c r="G124" s="184"/>
      <c r="H124" s="185"/>
    </row>
    <row r="125" spans="1:8" x14ac:dyDescent="0.3">
      <c r="A125" s="21" t="s">
        <v>21</v>
      </c>
      <c r="B125" s="22" t="s">
        <v>22</v>
      </c>
      <c r="C125" s="22" t="s">
        <v>23</v>
      </c>
      <c r="D125" s="23" t="s">
        <v>25</v>
      </c>
      <c r="E125" s="41"/>
      <c r="F125" s="186"/>
      <c r="G125" s="187"/>
      <c r="H125" s="188"/>
    </row>
    <row r="126" spans="1:8" x14ac:dyDescent="0.3">
      <c r="A126" s="100"/>
      <c r="B126" s="101"/>
      <c r="C126" s="101"/>
      <c r="D126" s="112">
        <v>34810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78" t="s">
        <v>27</v>
      </c>
      <c r="B141" s="179"/>
      <c r="C141" s="179"/>
      <c r="D141" s="96">
        <f>SUM(Demolition_94[Amount])</f>
        <v>34810</v>
      </c>
      <c r="E141" s="34"/>
      <c r="F141" s="173" t="s">
        <v>33</v>
      </c>
      <c r="G141" s="174"/>
      <c r="H141" s="174"/>
    </row>
    <row r="142" spans="1:8" x14ac:dyDescent="0.3">
      <c r="A142" s="38"/>
      <c r="B142" s="38"/>
      <c r="C142" s="38"/>
      <c r="D142" s="39"/>
      <c r="E142" s="40"/>
      <c r="F142" s="173"/>
      <c r="G142" s="174"/>
      <c r="H142" s="174"/>
    </row>
    <row r="143" spans="1:8" ht="17.399999999999999" x14ac:dyDescent="0.3">
      <c r="A143" s="191" t="s">
        <v>64</v>
      </c>
      <c r="B143" s="192"/>
      <c r="C143" s="192"/>
      <c r="D143" s="193"/>
      <c r="E143" s="17"/>
      <c r="F143" s="183" t="s">
        <v>44</v>
      </c>
      <c r="G143" s="184"/>
      <c r="H143" s="185"/>
    </row>
    <row r="144" spans="1:8" x14ac:dyDescent="0.3">
      <c r="A144" s="21" t="s">
        <v>21</v>
      </c>
      <c r="B144" s="22" t="s">
        <v>22</v>
      </c>
      <c r="C144" s="22" t="s">
        <v>23</v>
      </c>
      <c r="D144" s="23" t="s">
        <v>25</v>
      </c>
      <c r="E144" s="41"/>
      <c r="F144" s="186"/>
      <c r="G144" s="187"/>
      <c r="H144" s="188"/>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78" t="s">
        <v>65</v>
      </c>
      <c r="B160" s="179"/>
      <c r="C160" s="179"/>
      <c r="D160" s="96">
        <f>SUM(Rehab_94[Amount])</f>
        <v>0</v>
      </c>
      <c r="E160" s="34"/>
      <c r="F160" s="173" t="s">
        <v>33</v>
      </c>
      <c r="G160" s="174"/>
      <c r="H160" s="174"/>
    </row>
    <row r="161" spans="6:8" x14ac:dyDescent="0.3">
      <c r="F161" s="173"/>
      <c r="G161" s="174"/>
      <c r="H161" s="174"/>
    </row>
  </sheetData>
  <sheetProtection algorithmName="SHA-512" hashValue="63kIoNVRbHDCJcoECu2c78/y7YqmanW+ENG+Lyg2Xlm3uht61OAd3ODOVtaJxPKqWAxUjAOcIaTSIQa9MQ/I1Q==" saltValue="rfTo4vXIYGkiDTBFKeSR8w=="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61"/>
  <sheetViews>
    <sheetView showGridLines="0" zoomScaleNormal="100" workbookViewId="0">
      <pane ySplit="9" topLeftCell="A110"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5" t="s">
        <v>24</v>
      </c>
      <c r="B1" s="175"/>
      <c r="C1" s="175"/>
      <c r="D1" s="175"/>
      <c r="E1" s="1"/>
      <c r="F1" s="2"/>
      <c r="G1" s="2"/>
      <c r="H1" s="1"/>
    </row>
    <row r="2" spans="1:14" ht="24.9" customHeight="1" x14ac:dyDescent="0.3">
      <c r="A2" s="176" t="s">
        <v>71</v>
      </c>
      <c r="B2" s="176"/>
      <c r="C2" s="176"/>
      <c r="D2" s="176"/>
      <c r="E2" s="4"/>
      <c r="F2" s="130"/>
      <c r="G2" s="130"/>
      <c r="H2" s="5"/>
    </row>
    <row r="3" spans="1:14" ht="31.5" customHeight="1" x14ac:dyDescent="0.3">
      <c r="A3" s="176"/>
      <c r="B3" s="176"/>
      <c r="C3" s="176"/>
      <c r="D3" s="176"/>
      <c r="E3" s="4"/>
      <c r="F3" s="130"/>
      <c r="G3" s="130"/>
      <c r="H3" s="5"/>
    </row>
    <row r="4" spans="1:14" ht="15" customHeight="1" x14ac:dyDescent="0.25">
      <c r="A4" s="75" t="s">
        <v>19</v>
      </c>
      <c r="B4" s="194" t="str">
        <f>IF('Summary Sheet'!B127="","",'Summary Sheet'!B127)</f>
        <v>3919 W GRENSHAW ST</v>
      </c>
      <c r="C4" s="194"/>
      <c r="D4" s="130"/>
      <c r="E4" s="4"/>
      <c r="F4" s="130"/>
      <c r="G4" s="130"/>
      <c r="H4" s="5"/>
    </row>
    <row r="5" spans="1:14" ht="15" customHeight="1" x14ac:dyDescent="0.25">
      <c r="A5" s="75" t="s">
        <v>20</v>
      </c>
      <c r="B5" s="195" t="str">
        <f>IF('Summary Sheet'!C127="","",'Summary Sheet'!C127)</f>
        <v/>
      </c>
      <c r="C5" s="195"/>
      <c r="D5" s="130"/>
      <c r="E5" s="4"/>
      <c r="F5" s="130"/>
      <c r="G5" s="130"/>
      <c r="H5" s="5"/>
    </row>
    <row r="6" spans="1:14" ht="15" customHeight="1" x14ac:dyDescent="0.25">
      <c r="A6" s="75" t="s">
        <v>36</v>
      </c>
      <c r="B6" s="177"/>
      <c r="C6" s="177"/>
      <c r="D6" s="6"/>
      <c r="E6" s="7"/>
    </row>
    <row r="7" spans="1:14" ht="15" customHeight="1" x14ac:dyDescent="0.25">
      <c r="A7" s="7"/>
      <c r="B7" s="196" t="s">
        <v>34</v>
      </c>
      <c r="C7" s="196"/>
      <c r="D7" s="10"/>
    </row>
    <row r="8" spans="1:14" ht="20.100000000000001" customHeight="1" x14ac:dyDescent="0.25">
      <c r="B8" s="11"/>
      <c r="C8" s="11"/>
      <c r="D8" s="12" t="s">
        <v>31</v>
      </c>
      <c r="F8" s="180" t="s">
        <v>32</v>
      </c>
      <c r="G8" s="181"/>
      <c r="H8" s="182"/>
    </row>
    <row r="9" spans="1:14" s="14" customFormat="1" ht="20.100000000000001" customHeight="1" x14ac:dyDescent="0.25">
      <c r="A9" s="197"/>
      <c r="B9" s="197"/>
      <c r="C9" s="197"/>
      <c r="D9" s="13">
        <f>SUM(D27,D46,D65,D84,D103,D122,D141,D160)</f>
        <v>18510</v>
      </c>
      <c r="F9" s="15" t="s">
        <v>28</v>
      </c>
      <c r="G9" s="15" t="s">
        <v>29</v>
      </c>
      <c r="H9" s="15" t="s">
        <v>30</v>
      </c>
      <c r="I9" s="16"/>
      <c r="J9" s="16"/>
      <c r="K9" s="16"/>
      <c r="L9" s="16"/>
      <c r="M9" s="16"/>
      <c r="N9" s="16"/>
    </row>
    <row r="10" spans="1:14" s="17" customFormat="1" ht="23.1" customHeight="1" x14ac:dyDescent="0.3">
      <c r="A10" s="198" t="s">
        <v>51</v>
      </c>
      <c r="B10" s="198"/>
      <c r="C10" s="198"/>
      <c r="D10" s="198"/>
      <c r="F10" s="183" t="s">
        <v>66</v>
      </c>
      <c r="G10" s="184"/>
      <c r="H10" s="185"/>
      <c r="I10" s="18"/>
      <c r="J10" s="18"/>
      <c r="K10" s="18"/>
      <c r="L10" s="18"/>
      <c r="M10" s="19"/>
      <c r="N10" s="20"/>
    </row>
    <row r="11" spans="1:14" s="24" customFormat="1" ht="12.75" customHeight="1" x14ac:dyDescent="0.25">
      <c r="A11" s="21" t="s">
        <v>21</v>
      </c>
      <c r="B11" s="22" t="s">
        <v>22</v>
      </c>
      <c r="C11" s="22" t="s">
        <v>23</v>
      </c>
      <c r="D11" s="23" t="s">
        <v>25</v>
      </c>
      <c r="F11" s="186"/>
      <c r="G11" s="187"/>
      <c r="H11" s="188"/>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78" t="s">
        <v>53</v>
      </c>
      <c r="B27" s="179"/>
      <c r="C27" s="179"/>
      <c r="D27" s="96">
        <f>SUM(Grass_95[Amount])</f>
        <v>0</v>
      </c>
      <c r="F27" s="173" t="s">
        <v>33</v>
      </c>
      <c r="G27" s="174"/>
      <c r="H27" s="174"/>
      <c r="I27" s="35"/>
      <c r="J27" s="35"/>
      <c r="K27" s="35"/>
      <c r="L27" s="35"/>
      <c r="M27" s="36"/>
      <c r="N27" s="37"/>
    </row>
    <row r="28" spans="1:14" s="40" customFormat="1" ht="11.1" customHeight="1" x14ac:dyDescent="0.3">
      <c r="A28" s="38"/>
      <c r="B28" s="38"/>
      <c r="C28" s="38"/>
      <c r="D28" s="39"/>
      <c r="F28" s="173"/>
      <c r="G28" s="174"/>
      <c r="H28" s="174"/>
      <c r="I28" s="35"/>
      <c r="J28" s="35"/>
      <c r="K28" s="35"/>
      <c r="L28" s="35"/>
      <c r="M28" s="36"/>
      <c r="N28" s="37"/>
    </row>
    <row r="29" spans="1:14" s="17" customFormat="1" ht="23.1" customHeight="1" x14ac:dyDescent="0.3">
      <c r="A29" s="191" t="s">
        <v>67</v>
      </c>
      <c r="B29" s="192"/>
      <c r="C29" s="192"/>
      <c r="D29" s="193"/>
      <c r="F29" s="183" t="s">
        <v>52</v>
      </c>
      <c r="G29" s="184"/>
      <c r="H29" s="185"/>
      <c r="I29" s="18"/>
      <c r="J29" s="18"/>
      <c r="K29" s="18"/>
      <c r="L29" s="18"/>
      <c r="M29" s="19"/>
      <c r="N29" s="20"/>
    </row>
    <row r="30" spans="1:14" s="41" customFormat="1" ht="12.75" customHeight="1" x14ac:dyDescent="0.25">
      <c r="A30" s="21" t="s">
        <v>21</v>
      </c>
      <c r="B30" s="22" t="s">
        <v>22</v>
      </c>
      <c r="C30" s="22" t="s">
        <v>23</v>
      </c>
      <c r="D30" s="23" t="s">
        <v>25</v>
      </c>
      <c r="F30" s="186"/>
      <c r="G30" s="187"/>
      <c r="H30" s="188"/>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31"/>
      <c r="J44" s="29"/>
      <c r="K44" s="29"/>
      <c r="L44" s="131"/>
      <c r="M44" s="30"/>
      <c r="N44" s="16"/>
    </row>
    <row r="45" spans="1:14" x14ac:dyDescent="0.3">
      <c r="A45" s="106"/>
      <c r="B45" s="107"/>
      <c r="C45" s="107"/>
      <c r="D45" s="114"/>
      <c r="F45" s="103"/>
      <c r="G45" s="104"/>
      <c r="H45" s="109"/>
      <c r="I45" s="131"/>
      <c r="J45" s="29"/>
      <c r="K45" s="29"/>
      <c r="L45" s="131"/>
      <c r="M45" s="30"/>
      <c r="N45" s="16"/>
    </row>
    <row r="46" spans="1:14" s="34" customFormat="1" x14ac:dyDescent="0.3">
      <c r="A46" s="178" t="s">
        <v>54</v>
      </c>
      <c r="B46" s="179"/>
      <c r="C46" s="179"/>
      <c r="D46" s="96">
        <f>SUM(Tree_95[Amount])</f>
        <v>0</v>
      </c>
      <c r="F46" s="173" t="s">
        <v>33</v>
      </c>
      <c r="G46" s="174"/>
      <c r="H46" s="174"/>
      <c r="I46" s="43"/>
      <c r="J46" s="43"/>
      <c r="K46" s="43"/>
      <c r="L46" s="43"/>
      <c r="M46" s="36"/>
      <c r="N46" s="37"/>
    </row>
    <row r="47" spans="1:14" s="40" customFormat="1" ht="11.1" customHeight="1" x14ac:dyDescent="0.3">
      <c r="A47" s="38"/>
      <c r="B47" s="38"/>
      <c r="C47" s="38"/>
      <c r="D47" s="39"/>
      <c r="F47" s="173"/>
      <c r="G47" s="174"/>
      <c r="H47" s="174"/>
      <c r="I47" s="43"/>
      <c r="J47" s="43"/>
      <c r="K47" s="43"/>
      <c r="L47" s="43"/>
      <c r="M47" s="36"/>
      <c r="N47" s="37"/>
    </row>
    <row r="48" spans="1:14" s="17" customFormat="1" ht="23.1" customHeight="1" x14ac:dyDescent="0.3">
      <c r="A48" s="191" t="s">
        <v>68</v>
      </c>
      <c r="B48" s="192"/>
      <c r="C48" s="192"/>
      <c r="D48" s="193"/>
      <c r="F48" s="183" t="s">
        <v>55</v>
      </c>
      <c r="G48" s="184"/>
      <c r="H48" s="185"/>
      <c r="I48" s="44"/>
      <c r="J48" s="44"/>
      <c r="K48" s="44"/>
      <c r="L48" s="44"/>
      <c r="M48" s="19"/>
      <c r="N48" s="20"/>
    </row>
    <row r="49" spans="1:14" s="41" customFormat="1" ht="12.75" customHeight="1" x14ac:dyDescent="0.25">
      <c r="A49" s="21" t="s">
        <v>21</v>
      </c>
      <c r="B49" s="22" t="s">
        <v>22</v>
      </c>
      <c r="C49" s="22" t="s">
        <v>23</v>
      </c>
      <c r="D49" s="23" t="s">
        <v>25</v>
      </c>
      <c r="F49" s="186"/>
      <c r="G49" s="187"/>
      <c r="H49" s="188"/>
      <c r="I49" s="131"/>
      <c r="J49" s="131"/>
      <c r="K49" s="131"/>
      <c r="L49" s="131"/>
      <c r="M49" s="30"/>
      <c r="N49" s="42"/>
    </row>
    <row r="50" spans="1:14" x14ac:dyDescent="0.3">
      <c r="A50" s="100"/>
      <c r="B50" s="101"/>
      <c r="C50" s="101"/>
      <c r="D50" s="112"/>
      <c r="F50" s="103"/>
      <c r="G50" s="104"/>
      <c r="H50" s="109"/>
      <c r="I50" s="131"/>
      <c r="J50" s="131"/>
      <c r="K50" s="131"/>
      <c r="L50" s="131"/>
      <c r="M50" s="30"/>
      <c r="N50" s="16"/>
    </row>
    <row r="51" spans="1:14" x14ac:dyDescent="0.3">
      <c r="A51" s="106"/>
      <c r="B51" s="107"/>
      <c r="C51" s="107"/>
      <c r="D51" s="113"/>
      <c r="F51" s="103"/>
      <c r="G51" s="104"/>
      <c r="H51" s="109"/>
      <c r="I51" s="131"/>
      <c r="J51" s="131"/>
      <c r="K51" s="131"/>
      <c r="L51" s="131"/>
      <c r="M51" s="30"/>
      <c r="N51" s="16"/>
    </row>
    <row r="52" spans="1:14" x14ac:dyDescent="0.3">
      <c r="A52" s="106"/>
      <c r="B52" s="107"/>
      <c r="C52" s="107"/>
      <c r="D52" s="114"/>
      <c r="F52" s="103"/>
      <c r="H52" s="109"/>
      <c r="I52" s="131"/>
      <c r="J52" s="131"/>
      <c r="K52" s="131"/>
      <c r="L52" s="131"/>
      <c r="M52" s="30"/>
      <c r="N52" s="16"/>
    </row>
    <row r="53" spans="1:14" x14ac:dyDescent="0.3">
      <c r="A53" s="106"/>
      <c r="B53" s="107"/>
      <c r="C53" s="107"/>
      <c r="D53" s="113"/>
      <c r="F53" s="103"/>
      <c r="G53" s="104"/>
      <c r="H53" s="109"/>
      <c r="I53" s="131"/>
      <c r="J53" s="131"/>
      <c r="K53" s="131"/>
      <c r="L53" s="131"/>
      <c r="M53" s="30"/>
      <c r="N53" s="16"/>
    </row>
    <row r="54" spans="1:14" x14ac:dyDescent="0.3">
      <c r="A54" s="106"/>
      <c r="B54" s="107"/>
      <c r="C54" s="107"/>
      <c r="D54" s="114"/>
      <c r="F54" s="103"/>
      <c r="G54" s="104"/>
      <c r="H54" s="109"/>
      <c r="I54" s="131"/>
      <c r="J54" s="131"/>
      <c r="K54" s="131"/>
      <c r="L54" s="131"/>
      <c r="M54" s="30"/>
      <c r="N54" s="16"/>
    </row>
    <row r="55" spans="1:14" x14ac:dyDescent="0.3">
      <c r="A55" s="106"/>
      <c r="B55" s="107"/>
      <c r="C55" s="107"/>
      <c r="D55" s="113"/>
      <c r="F55" s="103"/>
      <c r="G55" s="104"/>
      <c r="H55" s="109"/>
      <c r="I55" s="131"/>
      <c r="J55" s="131"/>
      <c r="K55" s="131"/>
      <c r="L55" s="131"/>
      <c r="M55" s="30"/>
      <c r="N55" s="16"/>
    </row>
    <row r="56" spans="1:14" x14ac:dyDescent="0.3">
      <c r="A56" s="106"/>
      <c r="B56" s="107"/>
      <c r="C56" s="107"/>
      <c r="D56" s="114"/>
      <c r="F56" s="103"/>
      <c r="G56" s="104"/>
      <c r="H56" s="109"/>
      <c r="I56" s="131"/>
      <c r="J56" s="131"/>
      <c r="K56" s="131"/>
      <c r="L56" s="131"/>
      <c r="M56" s="30"/>
      <c r="N56" s="16"/>
    </row>
    <row r="57" spans="1:14" x14ac:dyDescent="0.3">
      <c r="A57" s="106"/>
      <c r="B57" s="107"/>
      <c r="C57" s="107"/>
      <c r="D57" s="113"/>
      <c r="F57" s="103"/>
      <c r="G57" s="104"/>
      <c r="H57" s="109"/>
      <c r="I57" s="131"/>
      <c r="J57" s="131"/>
      <c r="K57" s="131"/>
      <c r="L57" s="131"/>
      <c r="M57" s="30"/>
      <c r="N57" s="16"/>
    </row>
    <row r="58" spans="1:14" x14ac:dyDescent="0.3">
      <c r="A58" s="106"/>
      <c r="B58" s="107"/>
      <c r="C58" s="107"/>
      <c r="D58" s="114"/>
      <c r="F58" s="103"/>
      <c r="G58" s="104"/>
      <c r="H58" s="109"/>
      <c r="I58" s="131"/>
      <c r="J58" s="131"/>
      <c r="K58" s="131"/>
      <c r="L58" s="131"/>
      <c r="M58" s="30"/>
      <c r="N58" s="16"/>
    </row>
    <row r="59" spans="1:14" x14ac:dyDescent="0.3">
      <c r="A59" s="106"/>
      <c r="B59" s="107"/>
      <c r="C59" s="107"/>
      <c r="D59" s="113"/>
      <c r="F59" s="103"/>
      <c r="G59" s="104"/>
      <c r="H59" s="109"/>
      <c r="I59" s="131"/>
      <c r="J59" s="190"/>
      <c r="K59" s="190"/>
      <c r="L59" s="131"/>
      <c r="M59" s="30"/>
      <c r="N59" s="16"/>
    </row>
    <row r="60" spans="1:14" x14ac:dyDescent="0.3">
      <c r="A60" s="106"/>
      <c r="B60" s="107"/>
      <c r="C60" s="107"/>
      <c r="D60" s="114"/>
      <c r="F60" s="103"/>
      <c r="G60" s="104"/>
      <c r="H60" s="109"/>
      <c r="I60" s="189"/>
      <c r="J60" s="189"/>
      <c r="K60" s="189"/>
      <c r="L60" s="189"/>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78" t="s">
        <v>56</v>
      </c>
      <c r="B65" s="179"/>
      <c r="C65" s="179"/>
      <c r="D65" s="96">
        <f>SUM(Pest_95[Amount])</f>
        <v>0</v>
      </c>
      <c r="F65" s="173" t="s">
        <v>33</v>
      </c>
      <c r="G65" s="174"/>
      <c r="H65" s="174"/>
    </row>
    <row r="66" spans="1:8" x14ac:dyDescent="0.3">
      <c r="F66" s="173"/>
      <c r="G66" s="174"/>
      <c r="H66" s="174"/>
    </row>
    <row r="67" spans="1:8" ht="17.399999999999999" x14ac:dyDescent="0.3">
      <c r="A67" s="198" t="s">
        <v>69</v>
      </c>
      <c r="B67" s="198"/>
      <c r="C67" s="198"/>
      <c r="D67" s="198"/>
      <c r="E67" s="17"/>
      <c r="F67" s="183" t="s">
        <v>57</v>
      </c>
      <c r="G67" s="184"/>
      <c r="H67" s="185"/>
    </row>
    <row r="68" spans="1:8" x14ac:dyDescent="0.3">
      <c r="A68" s="21" t="s">
        <v>21</v>
      </c>
      <c r="B68" s="22" t="s">
        <v>22</v>
      </c>
      <c r="C68" s="22" t="s">
        <v>23</v>
      </c>
      <c r="D68" s="23" t="s">
        <v>25</v>
      </c>
      <c r="E68" s="24"/>
      <c r="F68" s="186"/>
      <c r="G68" s="187"/>
      <c r="H68" s="188"/>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78" t="s">
        <v>58</v>
      </c>
      <c r="B84" s="179"/>
      <c r="C84" s="179"/>
      <c r="D84" s="96">
        <f>SUM(Garbage_95[Amount])</f>
        <v>0</v>
      </c>
      <c r="E84" s="34"/>
      <c r="F84" s="173" t="s">
        <v>33</v>
      </c>
      <c r="G84" s="174"/>
      <c r="H84" s="174"/>
    </row>
    <row r="85" spans="1:8" x14ac:dyDescent="0.3">
      <c r="A85" s="38"/>
      <c r="B85" s="38"/>
      <c r="C85" s="38"/>
      <c r="D85" s="39"/>
      <c r="E85" s="40"/>
      <c r="F85" s="173"/>
      <c r="G85" s="174"/>
      <c r="H85" s="174"/>
    </row>
    <row r="86" spans="1:8" ht="17.399999999999999" x14ac:dyDescent="0.3">
      <c r="A86" s="191" t="s">
        <v>59</v>
      </c>
      <c r="B86" s="192"/>
      <c r="C86" s="192"/>
      <c r="D86" s="193"/>
      <c r="E86" s="17"/>
      <c r="F86" s="183" t="s">
        <v>60</v>
      </c>
      <c r="G86" s="184"/>
      <c r="H86" s="185"/>
    </row>
    <row r="87" spans="1:8" x14ac:dyDescent="0.3">
      <c r="A87" s="21" t="s">
        <v>21</v>
      </c>
      <c r="B87" s="22" t="s">
        <v>22</v>
      </c>
      <c r="C87" s="22" t="s">
        <v>23</v>
      </c>
      <c r="D87" s="23" t="s">
        <v>25</v>
      </c>
      <c r="E87" s="41"/>
      <c r="F87" s="186"/>
      <c r="G87" s="187"/>
      <c r="H87" s="188"/>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78" t="s">
        <v>61</v>
      </c>
      <c r="B103" s="179"/>
      <c r="C103" s="179"/>
      <c r="D103" s="96">
        <f>SUM(Boarding_95[Amount])</f>
        <v>0</v>
      </c>
      <c r="E103" s="34"/>
      <c r="F103" s="173" t="s">
        <v>33</v>
      </c>
      <c r="G103" s="174"/>
      <c r="H103" s="174"/>
    </row>
    <row r="104" spans="1:8" x14ac:dyDescent="0.3">
      <c r="A104" s="38"/>
      <c r="B104" s="38"/>
      <c r="C104" s="38"/>
      <c r="D104" s="39"/>
      <c r="E104" s="40"/>
      <c r="F104" s="173"/>
      <c r="G104" s="174"/>
      <c r="H104" s="174"/>
    </row>
    <row r="105" spans="1:8" ht="17.399999999999999" x14ac:dyDescent="0.3">
      <c r="A105" s="191" t="s">
        <v>70</v>
      </c>
      <c r="B105" s="192"/>
      <c r="C105" s="192"/>
      <c r="D105" s="193"/>
      <c r="E105" s="17"/>
      <c r="F105" s="183" t="s">
        <v>62</v>
      </c>
      <c r="G105" s="184"/>
      <c r="H105" s="185"/>
    </row>
    <row r="106" spans="1:8" x14ac:dyDescent="0.3">
      <c r="A106" s="21" t="s">
        <v>21</v>
      </c>
      <c r="B106" s="22" t="s">
        <v>22</v>
      </c>
      <c r="C106" s="22" t="s">
        <v>23</v>
      </c>
      <c r="D106" s="23" t="s">
        <v>25</v>
      </c>
      <c r="E106" s="41"/>
      <c r="F106" s="186"/>
      <c r="G106" s="187"/>
      <c r="H106" s="188"/>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78" t="s">
        <v>63</v>
      </c>
      <c r="B122" s="179"/>
      <c r="C122" s="179"/>
      <c r="D122" s="96">
        <f>SUM(Fence_95[Amount])</f>
        <v>0</v>
      </c>
      <c r="E122" s="34"/>
      <c r="F122" s="173" t="s">
        <v>33</v>
      </c>
      <c r="G122" s="174"/>
      <c r="H122" s="174"/>
    </row>
    <row r="123" spans="1:8" x14ac:dyDescent="0.3">
      <c r="F123" s="173"/>
      <c r="G123" s="174"/>
      <c r="H123" s="174"/>
    </row>
    <row r="124" spans="1:8" ht="17.399999999999999" x14ac:dyDescent="0.3">
      <c r="A124" s="191" t="s">
        <v>26</v>
      </c>
      <c r="B124" s="192"/>
      <c r="C124" s="192"/>
      <c r="D124" s="193"/>
      <c r="E124" s="17"/>
      <c r="F124" s="183" t="s">
        <v>11</v>
      </c>
      <c r="G124" s="184"/>
      <c r="H124" s="185"/>
    </row>
    <row r="125" spans="1:8" x14ac:dyDescent="0.3">
      <c r="A125" s="21" t="s">
        <v>21</v>
      </c>
      <c r="B125" s="22" t="s">
        <v>22</v>
      </c>
      <c r="C125" s="22" t="s">
        <v>23</v>
      </c>
      <c r="D125" s="23" t="s">
        <v>25</v>
      </c>
      <c r="E125" s="41"/>
      <c r="F125" s="186"/>
      <c r="G125" s="187"/>
      <c r="H125" s="188"/>
    </row>
    <row r="126" spans="1:8" x14ac:dyDescent="0.3">
      <c r="A126" s="100"/>
      <c r="B126" s="101"/>
      <c r="C126" s="101"/>
      <c r="D126" s="112">
        <v>18510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78" t="s">
        <v>27</v>
      </c>
      <c r="B141" s="179"/>
      <c r="C141" s="179"/>
      <c r="D141" s="96">
        <f>SUM(Demolition_95[Amount])</f>
        <v>18510</v>
      </c>
      <c r="E141" s="34"/>
      <c r="F141" s="173" t="s">
        <v>33</v>
      </c>
      <c r="G141" s="174"/>
      <c r="H141" s="174"/>
    </row>
    <row r="142" spans="1:8" x14ac:dyDescent="0.3">
      <c r="A142" s="38"/>
      <c r="B142" s="38"/>
      <c r="C142" s="38"/>
      <c r="D142" s="39"/>
      <c r="E142" s="40"/>
      <c r="F142" s="173"/>
      <c r="G142" s="174"/>
      <c r="H142" s="174"/>
    </row>
    <row r="143" spans="1:8" ht="17.399999999999999" x14ac:dyDescent="0.3">
      <c r="A143" s="191" t="s">
        <v>64</v>
      </c>
      <c r="B143" s="192"/>
      <c r="C143" s="192"/>
      <c r="D143" s="193"/>
      <c r="E143" s="17"/>
      <c r="F143" s="183" t="s">
        <v>44</v>
      </c>
      <c r="G143" s="184"/>
      <c r="H143" s="185"/>
    </row>
    <row r="144" spans="1:8" x14ac:dyDescent="0.3">
      <c r="A144" s="21" t="s">
        <v>21</v>
      </c>
      <c r="B144" s="22" t="s">
        <v>22</v>
      </c>
      <c r="C144" s="22" t="s">
        <v>23</v>
      </c>
      <c r="D144" s="23" t="s">
        <v>25</v>
      </c>
      <c r="E144" s="41"/>
      <c r="F144" s="186"/>
      <c r="G144" s="187"/>
      <c r="H144" s="188"/>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78" t="s">
        <v>65</v>
      </c>
      <c r="B160" s="179"/>
      <c r="C160" s="179"/>
      <c r="D160" s="96">
        <f>SUM(Rehab_95[Amount])</f>
        <v>0</v>
      </c>
      <c r="E160" s="34"/>
      <c r="F160" s="173" t="s">
        <v>33</v>
      </c>
      <c r="G160" s="174"/>
      <c r="H160" s="174"/>
    </row>
    <row r="161" spans="6:8" x14ac:dyDescent="0.3">
      <c r="F161" s="173"/>
      <c r="G161" s="174"/>
      <c r="H161" s="174"/>
    </row>
  </sheetData>
  <sheetProtection algorithmName="SHA-512" hashValue="iFKtnPu/CSnrc/qO2t9kGu61qqdsKeu1VADVSsQmI0Wd4KbuW7gan0Z+CcP7YMP50fXsKC0KhSqZgbSrODwagg==" saltValue="Q0S/2CMXzQ1758NVuuSQkA=="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61"/>
  <sheetViews>
    <sheetView showGridLines="0" zoomScaleNormal="100" workbookViewId="0">
      <pane ySplit="9" topLeftCell="A112"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5" t="s">
        <v>24</v>
      </c>
      <c r="B1" s="175"/>
      <c r="C1" s="175"/>
      <c r="D1" s="175"/>
      <c r="E1" s="1"/>
      <c r="F1" s="2"/>
      <c r="G1" s="2"/>
      <c r="H1" s="1"/>
    </row>
    <row r="2" spans="1:14" ht="24.9" customHeight="1" x14ac:dyDescent="0.3">
      <c r="A2" s="176" t="s">
        <v>71</v>
      </c>
      <c r="B2" s="176"/>
      <c r="C2" s="176"/>
      <c r="D2" s="176"/>
      <c r="E2" s="4"/>
      <c r="F2" s="130"/>
      <c r="G2" s="130"/>
      <c r="H2" s="5"/>
    </row>
    <row r="3" spans="1:14" ht="31.5" customHeight="1" x14ac:dyDescent="0.3">
      <c r="A3" s="176"/>
      <c r="B3" s="176"/>
      <c r="C3" s="176"/>
      <c r="D3" s="176"/>
      <c r="E3" s="4"/>
      <c r="F3" s="130"/>
      <c r="G3" s="130"/>
      <c r="H3" s="5"/>
    </row>
    <row r="4" spans="1:14" ht="15" customHeight="1" x14ac:dyDescent="0.25">
      <c r="A4" s="75" t="s">
        <v>19</v>
      </c>
      <c r="B4" s="194" t="str">
        <f>IF('Summary Sheet'!B128="","",'Summary Sheet'!B128)</f>
        <v>3934 W ARMITAGE AVE</v>
      </c>
      <c r="C4" s="194"/>
      <c r="D4" s="130"/>
      <c r="E4" s="4"/>
      <c r="F4" s="130"/>
      <c r="G4" s="130"/>
      <c r="H4" s="5"/>
    </row>
    <row r="5" spans="1:14" ht="15" customHeight="1" x14ac:dyDescent="0.25">
      <c r="A5" s="75" t="s">
        <v>20</v>
      </c>
      <c r="B5" s="195" t="str">
        <f>IF('Summary Sheet'!C128="","",'Summary Sheet'!C128)</f>
        <v/>
      </c>
      <c r="C5" s="195"/>
      <c r="D5" s="130"/>
      <c r="E5" s="4"/>
      <c r="F5" s="130"/>
      <c r="G5" s="130"/>
      <c r="H5" s="5"/>
    </row>
    <row r="6" spans="1:14" ht="15" customHeight="1" x14ac:dyDescent="0.25">
      <c r="A6" s="75" t="s">
        <v>36</v>
      </c>
      <c r="B6" s="177"/>
      <c r="C6" s="177"/>
      <c r="D6" s="6"/>
      <c r="E6" s="7"/>
    </row>
    <row r="7" spans="1:14" ht="15" customHeight="1" x14ac:dyDescent="0.25">
      <c r="A7" s="7"/>
      <c r="B7" s="196" t="s">
        <v>34</v>
      </c>
      <c r="C7" s="196"/>
      <c r="D7" s="10"/>
    </row>
    <row r="8" spans="1:14" ht="20.100000000000001" customHeight="1" x14ac:dyDescent="0.25">
      <c r="B8" s="11"/>
      <c r="C8" s="11"/>
      <c r="D8" s="12" t="s">
        <v>31</v>
      </c>
      <c r="F8" s="180" t="s">
        <v>32</v>
      </c>
      <c r="G8" s="181"/>
      <c r="H8" s="182"/>
    </row>
    <row r="9" spans="1:14" s="14" customFormat="1" ht="20.100000000000001" customHeight="1" x14ac:dyDescent="0.25">
      <c r="A9" s="197"/>
      <c r="B9" s="197"/>
      <c r="C9" s="197"/>
      <c r="D9" s="13">
        <f>SUM(D27,D46,D65,D84,D103,D122,D141,D160)</f>
        <v>15410</v>
      </c>
      <c r="F9" s="15" t="s">
        <v>28</v>
      </c>
      <c r="G9" s="15" t="s">
        <v>29</v>
      </c>
      <c r="H9" s="15" t="s">
        <v>30</v>
      </c>
      <c r="I9" s="16"/>
      <c r="J9" s="16"/>
      <c r="K9" s="16"/>
      <c r="L9" s="16"/>
      <c r="M9" s="16"/>
      <c r="N9" s="16"/>
    </row>
    <row r="10" spans="1:14" s="17" customFormat="1" ht="23.1" customHeight="1" x14ac:dyDescent="0.3">
      <c r="A10" s="198" t="s">
        <v>51</v>
      </c>
      <c r="B10" s="198"/>
      <c r="C10" s="198"/>
      <c r="D10" s="198"/>
      <c r="F10" s="183" t="s">
        <v>66</v>
      </c>
      <c r="G10" s="184"/>
      <c r="H10" s="185"/>
      <c r="I10" s="18"/>
      <c r="J10" s="18"/>
      <c r="K10" s="18"/>
      <c r="L10" s="18"/>
      <c r="M10" s="19"/>
      <c r="N10" s="20"/>
    </row>
    <row r="11" spans="1:14" s="24" customFormat="1" ht="12.75" customHeight="1" x14ac:dyDescent="0.25">
      <c r="A11" s="21" t="s">
        <v>21</v>
      </c>
      <c r="B11" s="22" t="s">
        <v>22</v>
      </c>
      <c r="C11" s="22" t="s">
        <v>23</v>
      </c>
      <c r="D11" s="23" t="s">
        <v>25</v>
      </c>
      <c r="F11" s="186"/>
      <c r="G11" s="187"/>
      <c r="H11" s="188"/>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78" t="s">
        <v>53</v>
      </c>
      <c r="B27" s="179"/>
      <c r="C27" s="179"/>
      <c r="D27" s="96">
        <f>SUM(Grass_96[Amount])</f>
        <v>0</v>
      </c>
      <c r="F27" s="173" t="s">
        <v>33</v>
      </c>
      <c r="G27" s="174"/>
      <c r="H27" s="174"/>
      <c r="I27" s="35"/>
      <c r="J27" s="35"/>
      <c r="K27" s="35"/>
      <c r="L27" s="35"/>
      <c r="M27" s="36"/>
      <c r="N27" s="37"/>
    </row>
    <row r="28" spans="1:14" s="40" customFormat="1" ht="11.1" customHeight="1" x14ac:dyDescent="0.3">
      <c r="A28" s="38"/>
      <c r="B28" s="38"/>
      <c r="C28" s="38"/>
      <c r="D28" s="39"/>
      <c r="F28" s="173"/>
      <c r="G28" s="174"/>
      <c r="H28" s="174"/>
      <c r="I28" s="35"/>
      <c r="J28" s="35"/>
      <c r="K28" s="35"/>
      <c r="L28" s="35"/>
      <c r="M28" s="36"/>
      <c r="N28" s="37"/>
    </row>
    <row r="29" spans="1:14" s="17" customFormat="1" ht="23.1" customHeight="1" x14ac:dyDescent="0.3">
      <c r="A29" s="191" t="s">
        <v>67</v>
      </c>
      <c r="B29" s="192"/>
      <c r="C29" s="192"/>
      <c r="D29" s="193"/>
      <c r="F29" s="183" t="s">
        <v>52</v>
      </c>
      <c r="G29" s="184"/>
      <c r="H29" s="185"/>
      <c r="I29" s="18"/>
      <c r="J29" s="18"/>
      <c r="K29" s="18"/>
      <c r="L29" s="18"/>
      <c r="M29" s="19"/>
      <c r="N29" s="20"/>
    </row>
    <row r="30" spans="1:14" s="41" customFormat="1" ht="12.75" customHeight="1" x14ac:dyDescent="0.25">
      <c r="A30" s="21" t="s">
        <v>21</v>
      </c>
      <c r="B30" s="22" t="s">
        <v>22</v>
      </c>
      <c r="C30" s="22" t="s">
        <v>23</v>
      </c>
      <c r="D30" s="23" t="s">
        <v>25</v>
      </c>
      <c r="F30" s="186"/>
      <c r="G30" s="187"/>
      <c r="H30" s="188"/>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31"/>
      <c r="J44" s="29"/>
      <c r="K44" s="29"/>
      <c r="L44" s="131"/>
      <c r="M44" s="30"/>
      <c r="N44" s="16"/>
    </row>
    <row r="45" spans="1:14" x14ac:dyDescent="0.3">
      <c r="A45" s="106"/>
      <c r="B45" s="107"/>
      <c r="C45" s="107"/>
      <c r="D45" s="114"/>
      <c r="F45" s="103"/>
      <c r="G45" s="104"/>
      <c r="H45" s="109"/>
      <c r="I45" s="131"/>
      <c r="J45" s="29"/>
      <c r="K45" s="29"/>
      <c r="L45" s="131"/>
      <c r="M45" s="30"/>
      <c r="N45" s="16"/>
    </row>
    <row r="46" spans="1:14" s="34" customFormat="1" x14ac:dyDescent="0.3">
      <c r="A46" s="178" t="s">
        <v>54</v>
      </c>
      <c r="B46" s="179"/>
      <c r="C46" s="179"/>
      <c r="D46" s="96">
        <f>SUM(Tree_96[Amount])</f>
        <v>0</v>
      </c>
      <c r="F46" s="173" t="s">
        <v>33</v>
      </c>
      <c r="G46" s="174"/>
      <c r="H46" s="174"/>
      <c r="I46" s="43"/>
      <c r="J46" s="43"/>
      <c r="K46" s="43"/>
      <c r="L46" s="43"/>
      <c r="M46" s="36"/>
      <c r="N46" s="37"/>
    </row>
    <row r="47" spans="1:14" s="40" customFormat="1" ht="11.1" customHeight="1" x14ac:dyDescent="0.3">
      <c r="A47" s="38"/>
      <c r="B47" s="38"/>
      <c r="C47" s="38"/>
      <c r="D47" s="39"/>
      <c r="F47" s="173"/>
      <c r="G47" s="174"/>
      <c r="H47" s="174"/>
      <c r="I47" s="43"/>
      <c r="J47" s="43"/>
      <c r="K47" s="43"/>
      <c r="L47" s="43"/>
      <c r="M47" s="36"/>
      <c r="N47" s="37"/>
    </row>
    <row r="48" spans="1:14" s="17" customFormat="1" ht="23.1" customHeight="1" x14ac:dyDescent="0.3">
      <c r="A48" s="191" t="s">
        <v>68</v>
      </c>
      <c r="B48" s="192"/>
      <c r="C48" s="192"/>
      <c r="D48" s="193"/>
      <c r="F48" s="183" t="s">
        <v>55</v>
      </c>
      <c r="G48" s="184"/>
      <c r="H48" s="185"/>
      <c r="I48" s="44"/>
      <c r="J48" s="44"/>
      <c r="K48" s="44"/>
      <c r="L48" s="44"/>
      <c r="M48" s="19"/>
      <c r="N48" s="20"/>
    </row>
    <row r="49" spans="1:14" s="41" customFormat="1" ht="12.75" customHeight="1" x14ac:dyDescent="0.25">
      <c r="A49" s="21" t="s">
        <v>21</v>
      </c>
      <c r="B49" s="22" t="s">
        <v>22</v>
      </c>
      <c r="C49" s="22" t="s">
        <v>23</v>
      </c>
      <c r="D49" s="23" t="s">
        <v>25</v>
      </c>
      <c r="F49" s="186"/>
      <c r="G49" s="187"/>
      <c r="H49" s="188"/>
      <c r="I49" s="131"/>
      <c r="J49" s="131"/>
      <c r="K49" s="131"/>
      <c r="L49" s="131"/>
      <c r="M49" s="30"/>
      <c r="N49" s="42"/>
    </row>
    <row r="50" spans="1:14" x14ac:dyDescent="0.3">
      <c r="A50" s="100"/>
      <c r="B50" s="101"/>
      <c r="C50" s="101"/>
      <c r="D50" s="112"/>
      <c r="F50" s="103"/>
      <c r="G50" s="104"/>
      <c r="H50" s="109"/>
      <c r="I50" s="131"/>
      <c r="J50" s="131"/>
      <c r="K50" s="131"/>
      <c r="L50" s="131"/>
      <c r="M50" s="30"/>
      <c r="N50" s="16"/>
    </row>
    <row r="51" spans="1:14" x14ac:dyDescent="0.3">
      <c r="A51" s="106"/>
      <c r="B51" s="107"/>
      <c r="C51" s="107"/>
      <c r="D51" s="113"/>
      <c r="F51" s="103"/>
      <c r="G51" s="104"/>
      <c r="H51" s="109"/>
      <c r="I51" s="131"/>
      <c r="J51" s="131"/>
      <c r="K51" s="131"/>
      <c r="L51" s="131"/>
      <c r="M51" s="30"/>
      <c r="N51" s="16"/>
    </row>
    <row r="52" spans="1:14" x14ac:dyDescent="0.3">
      <c r="A52" s="106"/>
      <c r="B52" s="107"/>
      <c r="C52" s="107"/>
      <c r="D52" s="114"/>
      <c r="F52" s="103"/>
      <c r="H52" s="109"/>
      <c r="I52" s="131"/>
      <c r="J52" s="131"/>
      <c r="K52" s="131"/>
      <c r="L52" s="131"/>
      <c r="M52" s="30"/>
      <c r="N52" s="16"/>
    </row>
    <row r="53" spans="1:14" x14ac:dyDescent="0.3">
      <c r="A53" s="106"/>
      <c r="B53" s="107"/>
      <c r="C53" s="107"/>
      <c r="D53" s="113"/>
      <c r="F53" s="103"/>
      <c r="G53" s="104"/>
      <c r="H53" s="109"/>
      <c r="I53" s="131"/>
      <c r="J53" s="131"/>
      <c r="K53" s="131"/>
      <c r="L53" s="131"/>
      <c r="M53" s="30"/>
      <c r="N53" s="16"/>
    </row>
    <row r="54" spans="1:14" x14ac:dyDescent="0.3">
      <c r="A54" s="106"/>
      <c r="B54" s="107"/>
      <c r="C54" s="107"/>
      <c r="D54" s="114"/>
      <c r="F54" s="103"/>
      <c r="G54" s="104"/>
      <c r="H54" s="109"/>
      <c r="I54" s="131"/>
      <c r="J54" s="131"/>
      <c r="K54" s="131"/>
      <c r="L54" s="131"/>
      <c r="M54" s="30"/>
      <c r="N54" s="16"/>
    </row>
    <row r="55" spans="1:14" x14ac:dyDescent="0.3">
      <c r="A55" s="106"/>
      <c r="B55" s="107"/>
      <c r="C55" s="107"/>
      <c r="D55" s="113"/>
      <c r="F55" s="103"/>
      <c r="G55" s="104"/>
      <c r="H55" s="109"/>
      <c r="I55" s="131"/>
      <c r="J55" s="131"/>
      <c r="K55" s="131"/>
      <c r="L55" s="131"/>
      <c r="M55" s="30"/>
      <c r="N55" s="16"/>
    </row>
    <row r="56" spans="1:14" x14ac:dyDescent="0.3">
      <c r="A56" s="106"/>
      <c r="B56" s="107"/>
      <c r="C56" s="107"/>
      <c r="D56" s="114"/>
      <c r="F56" s="103"/>
      <c r="G56" s="104"/>
      <c r="H56" s="109"/>
      <c r="I56" s="131"/>
      <c r="J56" s="131"/>
      <c r="K56" s="131"/>
      <c r="L56" s="131"/>
      <c r="M56" s="30"/>
      <c r="N56" s="16"/>
    </row>
    <row r="57" spans="1:14" x14ac:dyDescent="0.3">
      <c r="A57" s="106"/>
      <c r="B57" s="107"/>
      <c r="C57" s="107"/>
      <c r="D57" s="113"/>
      <c r="F57" s="103"/>
      <c r="G57" s="104"/>
      <c r="H57" s="109"/>
      <c r="I57" s="131"/>
      <c r="J57" s="131"/>
      <c r="K57" s="131"/>
      <c r="L57" s="131"/>
      <c r="M57" s="30"/>
      <c r="N57" s="16"/>
    </row>
    <row r="58" spans="1:14" x14ac:dyDescent="0.3">
      <c r="A58" s="106"/>
      <c r="B58" s="107"/>
      <c r="C58" s="107"/>
      <c r="D58" s="114"/>
      <c r="F58" s="103"/>
      <c r="G58" s="104"/>
      <c r="H58" s="109"/>
      <c r="I58" s="131"/>
      <c r="J58" s="131"/>
      <c r="K58" s="131"/>
      <c r="L58" s="131"/>
      <c r="M58" s="30"/>
      <c r="N58" s="16"/>
    </row>
    <row r="59" spans="1:14" x14ac:dyDescent="0.3">
      <c r="A59" s="106"/>
      <c r="B59" s="107"/>
      <c r="C59" s="107"/>
      <c r="D59" s="113"/>
      <c r="F59" s="103"/>
      <c r="G59" s="104"/>
      <c r="H59" s="109"/>
      <c r="I59" s="131"/>
      <c r="J59" s="190"/>
      <c r="K59" s="190"/>
      <c r="L59" s="131"/>
      <c r="M59" s="30"/>
      <c r="N59" s="16"/>
    </row>
    <row r="60" spans="1:14" x14ac:dyDescent="0.3">
      <c r="A60" s="106"/>
      <c r="B60" s="107"/>
      <c r="C60" s="107"/>
      <c r="D60" s="114"/>
      <c r="F60" s="103"/>
      <c r="G60" s="104"/>
      <c r="H60" s="109"/>
      <c r="I60" s="189"/>
      <c r="J60" s="189"/>
      <c r="K60" s="189"/>
      <c r="L60" s="189"/>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78" t="s">
        <v>56</v>
      </c>
      <c r="B65" s="179"/>
      <c r="C65" s="179"/>
      <c r="D65" s="96">
        <f>SUM(Pest_96[Amount])</f>
        <v>0</v>
      </c>
      <c r="F65" s="173" t="s">
        <v>33</v>
      </c>
      <c r="G65" s="174"/>
      <c r="H65" s="174"/>
    </row>
    <row r="66" spans="1:8" x14ac:dyDescent="0.3">
      <c r="F66" s="173"/>
      <c r="G66" s="174"/>
      <c r="H66" s="174"/>
    </row>
    <row r="67" spans="1:8" ht="17.399999999999999" x14ac:dyDescent="0.3">
      <c r="A67" s="198" t="s">
        <v>69</v>
      </c>
      <c r="B67" s="198"/>
      <c r="C67" s="198"/>
      <c r="D67" s="198"/>
      <c r="E67" s="17"/>
      <c r="F67" s="183" t="s">
        <v>57</v>
      </c>
      <c r="G67" s="184"/>
      <c r="H67" s="185"/>
    </row>
    <row r="68" spans="1:8" x14ac:dyDescent="0.3">
      <c r="A68" s="21" t="s">
        <v>21</v>
      </c>
      <c r="B68" s="22" t="s">
        <v>22</v>
      </c>
      <c r="C68" s="22" t="s">
        <v>23</v>
      </c>
      <c r="D68" s="23" t="s">
        <v>25</v>
      </c>
      <c r="E68" s="24"/>
      <c r="F68" s="186"/>
      <c r="G68" s="187"/>
      <c r="H68" s="188"/>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78" t="s">
        <v>58</v>
      </c>
      <c r="B84" s="179"/>
      <c r="C84" s="179"/>
      <c r="D84" s="96">
        <f>SUM(Garbage_96[Amount])</f>
        <v>0</v>
      </c>
      <c r="E84" s="34"/>
      <c r="F84" s="173" t="s">
        <v>33</v>
      </c>
      <c r="G84" s="174"/>
      <c r="H84" s="174"/>
    </row>
    <row r="85" spans="1:8" x14ac:dyDescent="0.3">
      <c r="A85" s="38"/>
      <c r="B85" s="38"/>
      <c r="C85" s="38"/>
      <c r="D85" s="39"/>
      <c r="E85" s="40"/>
      <c r="F85" s="173"/>
      <c r="G85" s="174"/>
      <c r="H85" s="174"/>
    </row>
    <row r="86" spans="1:8" ht="17.399999999999999" x14ac:dyDescent="0.3">
      <c r="A86" s="191" t="s">
        <v>59</v>
      </c>
      <c r="B86" s="192"/>
      <c r="C86" s="192"/>
      <c r="D86" s="193"/>
      <c r="E86" s="17"/>
      <c r="F86" s="183" t="s">
        <v>60</v>
      </c>
      <c r="G86" s="184"/>
      <c r="H86" s="185"/>
    </row>
    <row r="87" spans="1:8" x14ac:dyDescent="0.3">
      <c r="A87" s="21" t="s">
        <v>21</v>
      </c>
      <c r="B87" s="22" t="s">
        <v>22</v>
      </c>
      <c r="C87" s="22" t="s">
        <v>23</v>
      </c>
      <c r="D87" s="23" t="s">
        <v>25</v>
      </c>
      <c r="E87" s="41"/>
      <c r="F87" s="186"/>
      <c r="G87" s="187"/>
      <c r="H87" s="188"/>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78" t="s">
        <v>61</v>
      </c>
      <c r="B103" s="179"/>
      <c r="C103" s="179"/>
      <c r="D103" s="96">
        <f>SUM(Boarding_96[Amount])</f>
        <v>0</v>
      </c>
      <c r="E103" s="34"/>
      <c r="F103" s="173" t="s">
        <v>33</v>
      </c>
      <c r="G103" s="174"/>
      <c r="H103" s="174"/>
    </row>
    <row r="104" spans="1:8" x14ac:dyDescent="0.3">
      <c r="A104" s="38"/>
      <c r="B104" s="38"/>
      <c r="C104" s="38"/>
      <c r="D104" s="39"/>
      <c r="E104" s="40"/>
      <c r="F104" s="173"/>
      <c r="G104" s="174"/>
      <c r="H104" s="174"/>
    </row>
    <row r="105" spans="1:8" ht="17.399999999999999" x14ac:dyDescent="0.3">
      <c r="A105" s="191" t="s">
        <v>70</v>
      </c>
      <c r="B105" s="192"/>
      <c r="C105" s="192"/>
      <c r="D105" s="193"/>
      <c r="E105" s="17"/>
      <c r="F105" s="183" t="s">
        <v>62</v>
      </c>
      <c r="G105" s="184"/>
      <c r="H105" s="185"/>
    </row>
    <row r="106" spans="1:8" x14ac:dyDescent="0.3">
      <c r="A106" s="21" t="s">
        <v>21</v>
      </c>
      <c r="B106" s="22" t="s">
        <v>22</v>
      </c>
      <c r="C106" s="22" t="s">
        <v>23</v>
      </c>
      <c r="D106" s="23" t="s">
        <v>25</v>
      </c>
      <c r="E106" s="41"/>
      <c r="F106" s="186"/>
      <c r="G106" s="187"/>
      <c r="H106" s="188"/>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78" t="s">
        <v>63</v>
      </c>
      <c r="B122" s="179"/>
      <c r="C122" s="179"/>
      <c r="D122" s="96">
        <f>SUM(Fence_96[Amount])</f>
        <v>0</v>
      </c>
      <c r="E122" s="34"/>
      <c r="F122" s="173" t="s">
        <v>33</v>
      </c>
      <c r="G122" s="174"/>
      <c r="H122" s="174"/>
    </row>
    <row r="123" spans="1:8" x14ac:dyDescent="0.3">
      <c r="F123" s="173"/>
      <c r="G123" s="174"/>
      <c r="H123" s="174"/>
    </row>
    <row r="124" spans="1:8" ht="17.399999999999999" x14ac:dyDescent="0.3">
      <c r="A124" s="191" t="s">
        <v>26</v>
      </c>
      <c r="B124" s="192"/>
      <c r="C124" s="192"/>
      <c r="D124" s="193"/>
      <c r="E124" s="17"/>
      <c r="F124" s="183" t="s">
        <v>11</v>
      </c>
      <c r="G124" s="184"/>
      <c r="H124" s="185"/>
    </row>
    <row r="125" spans="1:8" x14ac:dyDescent="0.3">
      <c r="A125" s="21" t="s">
        <v>21</v>
      </c>
      <c r="B125" s="22" t="s">
        <v>22</v>
      </c>
      <c r="C125" s="22" t="s">
        <v>23</v>
      </c>
      <c r="D125" s="23" t="s">
        <v>25</v>
      </c>
      <c r="E125" s="41"/>
      <c r="F125" s="186"/>
      <c r="G125" s="187"/>
      <c r="H125" s="188"/>
    </row>
    <row r="126" spans="1:8" x14ac:dyDescent="0.3">
      <c r="A126" s="100"/>
      <c r="B126" s="101"/>
      <c r="C126" s="101"/>
      <c r="D126" s="112">
        <v>15410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78" t="s">
        <v>27</v>
      </c>
      <c r="B141" s="179"/>
      <c r="C141" s="179"/>
      <c r="D141" s="96">
        <f>SUM(Demolition_96[Amount])</f>
        <v>15410</v>
      </c>
      <c r="E141" s="34"/>
      <c r="F141" s="173" t="s">
        <v>33</v>
      </c>
      <c r="G141" s="174"/>
      <c r="H141" s="174"/>
    </row>
    <row r="142" spans="1:8" x14ac:dyDescent="0.3">
      <c r="A142" s="38"/>
      <c r="B142" s="38"/>
      <c r="C142" s="38"/>
      <c r="D142" s="39"/>
      <c r="E142" s="40"/>
      <c r="F142" s="173"/>
      <c r="G142" s="174"/>
      <c r="H142" s="174"/>
    </row>
    <row r="143" spans="1:8" ht="17.399999999999999" x14ac:dyDescent="0.3">
      <c r="A143" s="191" t="s">
        <v>64</v>
      </c>
      <c r="B143" s="192"/>
      <c r="C143" s="192"/>
      <c r="D143" s="193"/>
      <c r="E143" s="17"/>
      <c r="F143" s="183" t="s">
        <v>44</v>
      </c>
      <c r="G143" s="184"/>
      <c r="H143" s="185"/>
    </row>
    <row r="144" spans="1:8" x14ac:dyDescent="0.3">
      <c r="A144" s="21" t="s">
        <v>21</v>
      </c>
      <c r="B144" s="22" t="s">
        <v>22</v>
      </c>
      <c r="C144" s="22" t="s">
        <v>23</v>
      </c>
      <c r="D144" s="23" t="s">
        <v>25</v>
      </c>
      <c r="E144" s="41"/>
      <c r="F144" s="186"/>
      <c r="G144" s="187"/>
      <c r="H144" s="188"/>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78" t="s">
        <v>65</v>
      </c>
      <c r="B160" s="179"/>
      <c r="C160" s="179"/>
      <c r="D160" s="96">
        <f>SUM(Rehab_96[Amount])</f>
        <v>0</v>
      </c>
      <c r="E160" s="34"/>
      <c r="F160" s="173" t="s">
        <v>33</v>
      </c>
      <c r="G160" s="174"/>
      <c r="H160" s="174"/>
    </row>
    <row r="161" spans="6:8" x14ac:dyDescent="0.3">
      <c r="F161" s="173"/>
      <c r="G161" s="174"/>
      <c r="H161" s="174"/>
    </row>
  </sheetData>
  <sheetProtection algorithmName="SHA-512" hashValue="ZLlueQngrbO26+YTb3XlB8i8mCIb+dIE5VjS9F3mevOR266DpzLj6WkywuHLO6Ii8U/9UfjrVB1/gTN/KG9yLQ==" saltValue="NsK3VCWfoJqrm+PBA6AnJQ=="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61"/>
  <sheetViews>
    <sheetView showGridLines="0" zoomScaleNormal="100" workbookViewId="0">
      <pane ySplit="9" topLeftCell="A110"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5" t="s">
        <v>24</v>
      </c>
      <c r="B1" s="175"/>
      <c r="C1" s="175"/>
      <c r="D1" s="175"/>
      <c r="E1" s="1"/>
      <c r="F1" s="2"/>
      <c r="G1" s="2"/>
      <c r="H1" s="1"/>
    </row>
    <row r="2" spans="1:14" ht="24.9" customHeight="1" x14ac:dyDescent="0.3">
      <c r="A2" s="176" t="s">
        <v>71</v>
      </c>
      <c r="B2" s="176"/>
      <c r="C2" s="176"/>
      <c r="D2" s="176"/>
      <c r="E2" s="4"/>
      <c r="F2" s="130"/>
      <c r="G2" s="130"/>
      <c r="H2" s="5"/>
    </row>
    <row r="3" spans="1:14" ht="31.5" customHeight="1" x14ac:dyDescent="0.3">
      <c r="A3" s="176"/>
      <c r="B3" s="176"/>
      <c r="C3" s="176"/>
      <c r="D3" s="176"/>
      <c r="E3" s="4"/>
      <c r="F3" s="130"/>
      <c r="G3" s="130"/>
      <c r="H3" s="5"/>
    </row>
    <row r="4" spans="1:14" ht="15" customHeight="1" x14ac:dyDescent="0.25">
      <c r="A4" s="75" t="s">
        <v>19</v>
      </c>
      <c r="B4" s="194" t="str">
        <f>IF('Summary Sheet'!B129="","",'Summary Sheet'!B129)</f>
        <v>4006 W JACKSON BLVD</v>
      </c>
      <c r="C4" s="194"/>
      <c r="D4" s="130"/>
      <c r="E4" s="4"/>
      <c r="F4" s="130"/>
      <c r="G4" s="130"/>
      <c r="H4" s="5"/>
    </row>
    <row r="5" spans="1:14" ht="15" customHeight="1" x14ac:dyDescent="0.25">
      <c r="A5" s="75" t="s">
        <v>20</v>
      </c>
      <c r="B5" s="195" t="str">
        <f>IF('Summary Sheet'!C129="","",'Summary Sheet'!C129)</f>
        <v/>
      </c>
      <c r="C5" s="195"/>
      <c r="D5" s="130"/>
      <c r="E5" s="4"/>
      <c r="F5" s="130"/>
      <c r="G5" s="130"/>
      <c r="H5" s="5"/>
    </row>
    <row r="6" spans="1:14" ht="15" customHeight="1" x14ac:dyDescent="0.25">
      <c r="A6" s="75" t="s">
        <v>36</v>
      </c>
      <c r="B6" s="177"/>
      <c r="C6" s="177"/>
      <c r="D6" s="6"/>
      <c r="E6" s="7"/>
    </row>
    <row r="7" spans="1:14" ht="15" customHeight="1" x14ac:dyDescent="0.25">
      <c r="A7" s="7"/>
      <c r="B7" s="196" t="s">
        <v>34</v>
      </c>
      <c r="C7" s="196"/>
      <c r="D7" s="10"/>
    </row>
    <row r="8" spans="1:14" ht="20.100000000000001" customHeight="1" x14ac:dyDescent="0.25">
      <c r="B8" s="11"/>
      <c r="C8" s="11"/>
      <c r="D8" s="12" t="s">
        <v>31</v>
      </c>
      <c r="F8" s="180" t="s">
        <v>32</v>
      </c>
      <c r="G8" s="181"/>
      <c r="H8" s="182"/>
    </row>
    <row r="9" spans="1:14" s="14" customFormat="1" ht="20.100000000000001" customHeight="1" x14ac:dyDescent="0.25">
      <c r="A9" s="197"/>
      <c r="B9" s="197"/>
      <c r="C9" s="197"/>
      <c r="D9" s="13">
        <f>SUM(D27,D46,D65,D84,D103,D122,D141,D160)</f>
        <v>23410</v>
      </c>
      <c r="F9" s="15" t="s">
        <v>28</v>
      </c>
      <c r="G9" s="15" t="s">
        <v>29</v>
      </c>
      <c r="H9" s="15" t="s">
        <v>30</v>
      </c>
      <c r="I9" s="16"/>
      <c r="J9" s="16"/>
      <c r="K9" s="16"/>
      <c r="L9" s="16"/>
      <c r="M9" s="16"/>
      <c r="N9" s="16"/>
    </row>
    <row r="10" spans="1:14" s="17" customFormat="1" ht="23.1" customHeight="1" x14ac:dyDescent="0.3">
      <c r="A10" s="198" t="s">
        <v>51</v>
      </c>
      <c r="B10" s="198"/>
      <c r="C10" s="198"/>
      <c r="D10" s="198"/>
      <c r="F10" s="183" t="s">
        <v>66</v>
      </c>
      <c r="G10" s="184"/>
      <c r="H10" s="185"/>
      <c r="I10" s="18"/>
      <c r="J10" s="18"/>
      <c r="K10" s="18"/>
      <c r="L10" s="18"/>
      <c r="M10" s="19"/>
      <c r="N10" s="20"/>
    </row>
    <row r="11" spans="1:14" s="24" customFormat="1" ht="12.75" customHeight="1" x14ac:dyDescent="0.25">
      <c r="A11" s="21" t="s">
        <v>21</v>
      </c>
      <c r="B11" s="22" t="s">
        <v>22</v>
      </c>
      <c r="C11" s="22" t="s">
        <v>23</v>
      </c>
      <c r="D11" s="23" t="s">
        <v>25</v>
      </c>
      <c r="F11" s="186"/>
      <c r="G11" s="187"/>
      <c r="H11" s="188"/>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78" t="s">
        <v>53</v>
      </c>
      <c r="B27" s="179"/>
      <c r="C27" s="179"/>
      <c r="D27" s="96">
        <f>SUM(Grass_97[Amount])</f>
        <v>0</v>
      </c>
      <c r="F27" s="173" t="s">
        <v>33</v>
      </c>
      <c r="G27" s="174"/>
      <c r="H27" s="174"/>
      <c r="I27" s="35"/>
      <c r="J27" s="35"/>
      <c r="K27" s="35"/>
      <c r="L27" s="35"/>
      <c r="M27" s="36"/>
      <c r="N27" s="37"/>
    </row>
    <row r="28" spans="1:14" s="40" customFormat="1" ht="11.1" customHeight="1" x14ac:dyDescent="0.3">
      <c r="A28" s="38"/>
      <c r="B28" s="38"/>
      <c r="C28" s="38"/>
      <c r="D28" s="39"/>
      <c r="F28" s="173"/>
      <c r="G28" s="174"/>
      <c r="H28" s="174"/>
      <c r="I28" s="35"/>
      <c r="J28" s="35"/>
      <c r="K28" s="35"/>
      <c r="L28" s="35"/>
      <c r="M28" s="36"/>
      <c r="N28" s="37"/>
    </row>
    <row r="29" spans="1:14" s="17" customFormat="1" ht="23.1" customHeight="1" x14ac:dyDescent="0.3">
      <c r="A29" s="191" t="s">
        <v>67</v>
      </c>
      <c r="B29" s="192"/>
      <c r="C29" s="192"/>
      <c r="D29" s="193"/>
      <c r="F29" s="183" t="s">
        <v>52</v>
      </c>
      <c r="G29" s="184"/>
      <c r="H29" s="185"/>
      <c r="I29" s="18"/>
      <c r="J29" s="18"/>
      <c r="K29" s="18"/>
      <c r="L29" s="18"/>
      <c r="M29" s="19"/>
      <c r="N29" s="20"/>
    </row>
    <row r="30" spans="1:14" s="41" customFormat="1" ht="12.75" customHeight="1" x14ac:dyDescent="0.25">
      <c r="A30" s="21" t="s">
        <v>21</v>
      </c>
      <c r="B30" s="22" t="s">
        <v>22</v>
      </c>
      <c r="C30" s="22" t="s">
        <v>23</v>
      </c>
      <c r="D30" s="23" t="s">
        <v>25</v>
      </c>
      <c r="F30" s="186"/>
      <c r="G30" s="187"/>
      <c r="H30" s="188"/>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31"/>
      <c r="J44" s="29"/>
      <c r="K44" s="29"/>
      <c r="L44" s="131"/>
      <c r="M44" s="30"/>
      <c r="N44" s="16"/>
    </row>
    <row r="45" spans="1:14" x14ac:dyDescent="0.3">
      <c r="A45" s="106"/>
      <c r="B45" s="107"/>
      <c r="C45" s="107"/>
      <c r="D45" s="114"/>
      <c r="F45" s="103"/>
      <c r="G45" s="104"/>
      <c r="H45" s="109"/>
      <c r="I45" s="131"/>
      <c r="J45" s="29"/>
      <c r="K45" s="29"/>
      <c r="L45" s="131"/>
      <c r="M45" s="30"/>
      <c r="N45" s="16"/>
    </row>
    <row r="46" spans="1:14" s="34" customFormat="1" x14ac:dyDescent="0.3">
      <c r="A46" s="178" t="s">
        <v>54</v>
      </c>
      <c r="B46" s="179"/>
      <c r="C46" s="179"/>
      <c r="D46" s="96">
        <f>SUM(Tree_97[Amount])</f>
        <v>0</v>
      </c>
      <c r="F46" s="173" t="s">
        <v>33</v>
      </c>
      <c r="G46" s="174"/>
      <c r="H46" s="174"/>
      <c r="I46" s="43"/>
      <c r="J46" s="43"/>
      <c r="K46" s="43"/>
      <c r="L46" s="43"/>
      <c r="M46" s="36"/>
      <c r="N46" s="37"/>
    </row>
    <row r="47" spans="1:14" s="40" customFormat="1" ht="11.1" customHeight="1" x14ac:dyDescent="0.3">
      <c r="A47" s="38"/>
      <c r="B47" s="38"/>
      <c r="C47" s="38"/>
      <c r="D47" s="39"/>
      <c r="F47" s="173"/>
      <c r="G47" s="174"/>
      <c r="H47" s="174"/>
      <c r="I47" s="43"/>
      <c r="J47" s="43"/>
      <c r="K47" s="43"/>
      <c r="L47" s="43"/>
      <c r="M47" s="36"/>
      <c r="N47" s="37"/>
    </row>
    <row r="48" spans="1:14" s="17" customFormat="1" ht="23.1" customHeight="1" x14ac:dyDescent="0.3">
      <c r="A48" s="191" t="s">
        <v>68</v>
      </c>
      <c r="B48" s="192"/>
      <c r="C48" s="192"/>
      <c r="D48" s="193"/>
      <c r="F48" s="183" t="s">
        <v>55</v>
      </c>
      <c r="G48" s="184"/>
      <c r="H48" s="185"/>
      <c r="I48" s="44"/>
      <c r="J48" s="44"/>
      <c r="K48" s="44"/>
      <c r="L48" s="44"/>
      <c r="M48" s="19"/>
      <c r="N48" s="20"/>
    </row>
    <row r="49" spans="1:14" s="41" customFormat="1" ht="12.75" customHeight="1" x14ac:dyDescent="0.25">
      <c r="A49" s="21" t="s">
        <v>21</v>
      </c>
      <c r="B49" s="22" t="s">
        <v>22</v>
      </c>
      <c r="C49" s="22" t="s">
        <v>23</v>
      </c>
      <c r="D49" s="23" t="s">
        <v>25</v>
      </c>
      <c r="F49" s="186"/>
      <c r="G49" s="187"/>
      <c r="H49" s="188"/>
      <c r="I49" s="131"/>
      <c r="J49" s="131"/>
      <c r="K49" s="131"/>
      <c r="L49" s="131"/>
      <c r="M49" s="30"/>
      <c r="N49" s="42"/>
    </row>
    <row r="50" spans="1:14" x14ac:dyDescent="0.3">
      <c r="A50" s="100"/>
      <c r="B50" s="101"/>
      <c r="C50" s="101"/>
      <c r="D50" s="112"/>
      <c r="F50" s="103"/>
      <c r="G50" s="104"/>
      <c r="H50" s="109"/>
      <c r="I50" s="131"/>
      <c r="J50" s="131"/>
      <c r="K50" s="131"/>
      <c r="L50" s="131"/>
      <c r="M50" s="30"/>
      <c r="N50" s="16"/>
    </row>
    <row r="51" spans="1:14" x14ac:dyDescent="0.3">
      <c r="A51" s="106"/>
      <c r="B51" s="107"/>
      <c r="C51" s="107"/>
      <c r="D51" s="113"/>
      <c r="F51" s="103"/>
      <c r="G51" s="104"/>
      <c r="H51" s="109"/>
      <c r="I51" s="131"/>
      <c r="J51" s="131"/>
      <c r="K51" s="131"/>
      <c r="L51" s="131"/>
      <c r="M51" s="30"/>
      <c r="N51" s="16"/>
    </row>
    <row r="52" spans="1:14" x14ac:dyDescent="0.3">
      <c r="A52" s="106"/>
      <c r="B52" s="107"/>
      <c r="C52" s="107"/>
      <c r="D52" s="114"/>
      <c r="F52" s="103"/>
      <c r="H52" s="109"/>
      <c r="I52" s="131"/>
      <c r="J52" s="131"/>
      <c r="K52" s="131"/>
      <c r="L52" s="131"/>
      <c r="M52" s="30"/>
      <c r="N52" s="16"/>
    </row>
    <row r="53" spans="1:14" x14ac:dyDescent="0.3">
      <c r="A53" s="106"/>
      <c r="B53" s="107"/>
      <c r="C53" s="107"/>
      <c r="D53" s="113"/>
      <c r="F53" s="103"/>
      <c r="G53" s="104"/>
      <c r="H53" s="109"/>
      <c r="I53" s="131"/>
      <c r="J53" s="131"/>
      <c r="K53" s="131"/>
      <c r="L53" s="131"/>
      <c r="M53" s="30"/>
      <c r="N53" s="16"/>
    </row>
    <row r="54" spans="1:14" x14ac:dyDescent="0.3">
      <c r="A54" s="106"/>
      <c r="B54" s="107"/>
      <c r="C54" s="107"/>
      <c r="D54" s="114"/>
      <c r="F54" s="103"/>
      <c r="G54" s="104"/>
      <c r="H54" s="109"/>
      <c r="I54" s="131"/>
      <c r="J54" s="131"/>
      <c r="K54" s="131"/>
      <c r="L54" s="131"/>
      <c r="M54" s="30"/>
      <c r="N54" s="16"/>
    </row>
    <row r="55" spans="1:14" x14ac:dyDescent="0.3">
      <c r="A55" s="106"/>
      <c r="B55" s="107"/>
      <c r="C55" s="107"/>
      <c r="D55" s="113"/>
      <c r="F55" s="103"/>
      <c r="G55" s="104"/>
      <c r="H55" s="109"/>
      <c r="I55" s="131"/>
      <c r="J55" s="131"/>
      <c r="K55" s="131"/>
      <c r="L55" s="131"/>
      <c r="M55" s="30"/>
      <c r="N55" s="16"/>
    </row>
    <row r="56" spans="1:14" x14ac:dyDescent="0.3">
      <c r="A56" s="106"/>
      <c r="B56" s="107"/>
      <c r="C56" s="107"/>
      <c r="D56" s="114"/>
      <c r="F56" s="103"/>
      <c r="G56" s="104"/>
      <c r="H56" s="109"/>
      <c r="I56" s="131"/>
      <c r="J56" s="131"/>
      <c r="K56" s="131"/>
      <c r="L56" s="131"/>
      <c r="M56" s="30"/>
      <c r="N56" s="16"/>
    </row>
    <row r="57" spans="1:14" x14ac:dyDescent="0.3">
      <c r="A57" s="106"/>
      <c r="B57" s="107"/>
      <c r="C57" s="107"/>
      <c r="D57" s="113"/>
      <c r="F57" s="103"/>
      <c r="G57" s="104"/>
      <c r="H57" s="109"/>
      <c r="I57" s="131"/>
      <c r="J57" s="131"/>
      <c r="K57" s="131"/>
      <c r="L57" s="131"/>
      <c r="M57" s="30"/>
      <c r="N57" s="16"/>
    </row>
    <row r="58" spans="1:14" x14ac:dyDescent="0.3">
      <c r="A58" s="106"/>
      <c r="B58" s="107"/>
      <c r="C58" s="107"/>
      <c r="D58" s="114"/>
      <c r="F58" s="103"/>
      <c r="G58" s="104"/>
      <c r="H58" s="109"/>
      <c r="I58" s="131"/>
      <c r="J58" s="131"/>
      <c r="K58" s="131"/>
      <c r="L58" s="131"/>
      <c r="M58" s="30"/>
      <c r="N58" s="16"/>
    </row>
    <row r="59" spans="1:14" x14ac:dyDescent="0.3">
      <c r="A59" s="106"/>
      <c r="B59" s="107"/>
      <c r="C59" s="107"/>
      <c r="D59" s="113"/>
      <c r="F59" s="103"/>
      <c r="G59" s="104"/>
      <c r="H59" s="109"/>
      <c r="I59" s="131"/>
      <c r="J59" s="190"/>
      <c r="K59" s="190"/>
      <c r="L59" s="131"/>
      <c r="M59" s="30"/>
      <c r="N59" s="16"/>
    </row>
    <row r="60" spans="1:14" x14ac:dyDescent="0.3">
      <c r="A60" s="106"/>
      <c r="B60" s="107"/>
      <c r="C60" s="107"/>
      <c r="D60" s="114"/>
      <c r="F60" s="103"/>
      <c r="G60" s="104"/>
      <c r="H60" s="109"/>
      <c r="I60" s="189"/>
      <c r="J60" s="189"/>
      <c r="K60" s="189"/>
      <c r="L60" s="189"/>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78" t="s">
        <v>56</v>
      </c>
      <c r="B65" s="179"/>
      <c r="C65" s="179"/>
      <c r="D65" s="96">
        <f>SUM(Pest_97[Amount])</f>
        <v>0</v>
      </c>
      <c r="F65" s="173" t="s">
        <v>33</v>
      </c>
      <c r="G65" s="174"/>
      <c r="H65" s="174"/>
    </row>
    <row r="66" spans="1:8" x14ac:dyDescent="0.3">
      <c r="F66" s="173"/>
      <c r="G66" s="174"/>
      <c r="H66" s="174"/>
    </row>
    <row r="67" spans="1:8" ht="17.399999999999999" x14ac:dyDescent="0.3">
      <c r="A67" s="198" t="s">
        <v>69</v>
      </c>
      <c r="B67" s="198"/>
      <c r="C67" s="198"/>
      <c r="D67" s="198"/>
      <c r="E67" s="17"/>
      <c r="F67" s="183" t="s">
        <v>57</v>
      </c>
      <c r="G67" s="184"/>
      <c r="H67" s="185"/>
    </row>
    <row r="68" spans="1:8" x14ac:dyDescent="0.3">
      <c r="A68" s="21" t="s">
        <v>21</v>
      </c>
      <c r="B68" s="22" t="s">
        <v>22</v>
      </c>
      <c r="C68" s="22" t="s">
        <v>23</v>
      </c>
      <c r="D68" s="23" t="s">
        <v>25</v>
      </c>
      <c r="E68" s="24"/>
      <c r="F68" s="186"/>
      <c r="G68" s="187"/>
      <c r="H68" s="188"/>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78" t="s">
        <v>58</v>
      </c>
      <c r="B84" s="179"/>
      <c r="C84" s="179"/>
      <c r="D84" s="96">
        <f>SUM(Garbage_97[Amount])</f>
        <v>0</v>
      </c>
      <c r="E84" s="34"/>
      <c r="F84" s="173" t="s">
        <v>33</v>
      </c>
      <c r="G84" s="174"/>
      <c r="H84" s="174"/>
    </row>
    <row r="85" spans="1:8" x14ac:dyDescent="0.3">
      <c r="A85" s="38"/>
      <c r="B85" s="38"/>
      <c r="C85" s="38"/>
      <c r="D85" s="39"/>
      <c r="E85" s="40"/>
      <c r="F85" s="173"/>
      <c r="G85" s="174"/>
      <c r="H85" s="174"/>
    </row>
    <row r="86" spans="1:8" ht="17.399999999999999" x14ac:dyDescent="0.3">
      <c r="A86" s="191" t="s">
        <v>59</v>
      </c>
      <c r="B86" s="192"/>
      <c r="C86" s="192"/>
      <c r="D86" s="193"/>
      <c r="E86" s="17"/>
      <c r="F86" s="183" t="s">
        <v>60</v>
      </c>
      <c r="G86" s="184"/>
      <c r="H86" s="185"/>
    </row>
    <row r="87" spans="1:8" x14ac:dyDescent="0.3">
      <c r="A87" s="21" t="s">
        <v>21</v>
      </c>
      <c r="B87" s="22" t="s">
        <v>22</v>
      </c>
      <c r="C87" s="22" t="s">
        <v>23</v>
      </c>
      <c r="D87" s="23" t="s">
        <v>25</v>
      </c>
      <c r="E87" s="41"/>
      <c r="F87" s="186"/>
      <c r="G87" s="187"/>
      <c r="H87" s="188"/>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78" t="s">
        <v>61</v>
      </c>
      <c r="B103" s="179"/>
      <c r="C103" s="179"/>
      <c r="D103" s="96">
        <f>SUM(Boarding_97[Amount])</f>
        <v>0</v>
      </c>
      <c r="E103" s="34"/>
      <c r="F103" s="173" t="s">
        <v>33</v>
      </c>
      <c r="G103" s="174"/>
      <c r="H103" s="174"/>
    </row>
    <row r="104" spans="1:8" x14ac:dyDescent="0.3">
      <c r="A104" s="38"/>
      <c r="B104" s="38"/>
      <c r="C104" s="38"/>
      <c r="D104" s="39"/>
      <c r="E104" s="40"/>
      <c r="F104" s="173"/>
      <c r="G104" s="174"/>
      <c r="H104" s="174"/>
    </row>
    <row r="105" spans="1:8" ht="17.399999999999999" x14ac:dyDescent="0.3">
      <c r="A105" s="191" t="s">
        <v>70</v>
      </c>
      <c r="B105" s="192"/>
      <c r="C105" s="192"/>
      <c r="D105" s="193"/>
      <c r="E105" s="17"/>
      <c r="F105" s="183" t="s">
        <v>62</v>
      </c>
      <c r="G105" s="184"/>
      <c r="H105" s="185"/>
    </row>
    <row r="106" spans="1:8" x14ac:dyDescent="0.3">
      <c r="A106" s="21" t="s">
        <v>21</v>
      </c>
      <c r="B106" s="22" t="s">
        <v>22</v>
      </c>
      <c r="C106" s="22" t="s">
        <v>23</v>
      </c>
      <c r="D106" s="23" t="s">
        <v>25</v>
      </c>
      <c r="E106" s="41"/>
      <c r="F106" s="186"/>
      <c r="G106" s="187"/>
      <c r="H106" s="188"/>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78" t="s">
        <v>63</v>
      </c>
      <c r="B122" s="179"/>
      <c r="C122" s="179"/>
      <c r="D122" s="96">
        <f>SUM(Fence_97[Amount])</f>
        <v>0</v>
      </c>
      <c r="E122" s="34"/>
      <c r="F122" s="173" t="s">
        <v>33</v>
      </c>
      <c r="G122" s="174"/>
      <c r="H122" s="174"/>
    </row>
    <row r="123" spans="1:8" x14ac:dyDescent="0.3">
      <c r="F123" s="173"/>
      <c r="G123" s="174"/>
      <c r="H123" s="174"/>
    </row>
    <row r="124" spans="1:8" ht="17.399999999999999" x14ac:dyDescent="0.3">
      <c r="A124" s="191" t="s">
        <v>26</v>
      </c>
      <c r="B124" s="192"/>
      <c r="C124" s="192"/>
      <c r="D124" s="193"/>
      <c r="E124" s="17"/>
      <c r="F124" s="183" t="s">
        <v>11</v>
      </c>
      <c r="G124" s="184"/>
      <c r="H124" s="185"/>
    </row>
    <row r="125" spans="1:8" x14ac:dyDescent="0.3">
      <c r="A125" s="21" t="s">
        <v>21</v>
      </c>
      <c r="B125" s="22" t="s">
        <v>22</v>
      </c>
      <c r="C125" s="22" t="s">
        <v>23</v>
      </c>
      <c r="D125" s="23" t="s">
        <v>25</v>
      </c>
      <c r="E125" s="41"/>
      <c r="F125" s="186"/>
      <c r="G125" s="187"/>
      <c r="H125" s="188"/>
    </row>
    <row r="126" spans="1:8" x14ac:dyDescent="0.3">
      <c r="A126" s="100"/>
      <c r="B126" s="101"/>
      <c r="C126" s="101"/>
      <c r="D126" s="112">
        <v>23410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78" t="s">
        <v>27</v>
      </c>
      <c r="B141" s="179"/>
      <c r="C141" s="179"/>
      <c r="D141" s="96">
        <f>SUM(Demolition_97[Amount])</f>
        <v>23410</v>
      </c>
      <c r="E141" s="34"/>
      <c r="F141" s="173" t="s">
        <v>33</v>
      </c>
      <c r="G141" s="174"/>
      <c r="H141" s="174"/>
    </row>
    <row r="142" spans="1:8" x14ac:dyDescent="0.3">
      <c r="A142" s="38"/>
      <c r="B142" s="38"/>
      <c r="C142" s="38"/>
      <c r="D142" s="39"/>
      <c r="E142" s="40"/>
      <c r="F142" s="173"/>
      <c r="G142" s="174"/>
      <c r="H142" s="174"/>
    </row>
    <row r="143" spans="1:8" ht="17.399999999999999" x14ac:dyDescent="0.3">
      <c r="A143" s="191" t="s">
        <v>64</v>
      </c>
      <c r="B143" s="192"/>
      <c r="C143" s="192"/>
      <c r="D143" s="193"/>
      <c r="E143" s="17"/>
      <c r="F143" s="183" t="s">
        <v>44</v>
      </c>
      <c r="G143" s="184"/>
      <c r="H143" s="185"/>
    </row>
    <row r="144" spans="1:8" x14ac:dyDescent="0.3">
      <c r="A144" s="21" t="s">
        <v>21</v>
      </c>
      <c r="B144" s="22" t="s">
        <v>22</v>
      </c>
      <c r="C144" s="22" t="s">
        <v>23</v>
      </c>
      <c r="D144" s="23" t="s">
        <v>25</v>
      </c>
      <c r="E144" s="41"/>
      <c r="F144" s="186"/>
      <c r="G144" s="187"/>
      <c r="H144" s="188"/>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78" t="s">
        <v>65</v>
      </c>
      <c r="B160" s="179"/>
      <c r="C160" s="179"/>
      <c r="D160" s="96">
        <f>SUM(Rehab_97[Amount])</f>
        <v>0</v>
      </c>
      <c r="E160" s="34"/>
      <c r="F160" s="173" t="s">
        <v>33</v>
      </c>
      <c r="G160" s="174"/>
      <c r="H160" s="174"/>
    </row>
    <row r="161" spans="6:8" x14ac:dyDescent="0.3">
      <c r="F161" s="173"/>
      <c r="G161" s="174"/>
      <c r="H161" s="174"/>
    </row>
  </sheetData>
  <sheetProtection algorithmName="SHA-512" hashValue="TN41bVWYxotSStPkRQJrSO/4Aiqbcngj+wb2VM8IDOasli1i6WaeQqQcbdzEinKO1oQzF7JC9275mHI34m91jA==" saltValue="mNp4VLDoVpj85kFc1wupYQ=="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61"/>
  <sheetViews>
    <sheetView showGridLines="0" zoomScaleNormal="100" workbookViewId="0">
      <pane ySplit="9" topLeftCell="A118"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5" t="s">
        <v>24</v>
      </c>
      <c r="B1" s="175"/>
      <c r="C1" s="175"/>
      <c r="D1" s="175"/>
      <c r="E1" s="1"/>
      <c r="F1" s="2"/>
      <c r="G1" s="2"/>
      <c r="H1" s="1"/>
    </row>
    <row r="2" spans="1:14" ht="24.9" customHeight="1" x14ac:dyDescent="0.3">
      <c r="A2" s="176" t="s">
        <v>71</v>
      </c>
      <c r="B2" s="176"/>
      <c r="C2" s="176"/>
      <c r="D2" s="176"/>
      <c r="E2" s="4"/>
      <c r="F2" s="130"/>
      <c r="G2" s="130"/>
      <c r="H2" s="5"/>
    </row>
    <row r="3" spans="1:14" ht="31.5" customHeight="1" x14ac:dyDescent="0.3">
      <c r="A3" s="176"/>
      <c r="B3" s="176"/>
      <c r="C3" s="176"/>
      <c r="D3" s="176"/>
      <c r="E3" s="4"/>
      <c r="F3" s="130"/>
      <c r="G3" s="130"/>
      <c r="H3" s="5"/>
    </row>
    <row r="4" spans="1:14" ht="15" customHeight="1" x14ac:dyDescent="0.25">
      <c r="A4" s="75" t="s">
        <v>19</v>
      </c>
      <c r="B4" s="194" t="str">
        <f>IF('Summary Sheet'!B130="","",'Summary Sheet'!B130)</f>
        <v>4011 W JACKSON BLVD</v>
      </c>
      <c r="C4" s="194"/>
      <c r="D4" s="130"/>
      <c r="E4" s="4"/>
      <c r="F4" s="130"/>
      <c r="G4" s="130"/>
      <c r="H4" s="5"/>
    </row>
    <row r="5" spans="1:14" ht="15" customHeight="1" x14ac:dyDescent="0.25">
      <c r="A5" s="75" t="s">
        <v>20</v>
      </c>
      <c r="B5" s="195" t="str">
        <f>IF('Summary Sheet'!C130="","",'Summary Sheet'!C130)</f>
        <v/>
      </c>
      <c r="C5" s="195"/>
      <c r="D5" s="130"/>
      <c r="E5" s="4"/>
      <c r="F5" s="130"/>
      <c r="G5" s="130"/>
      <c r="H5" s="5"/>
    </row>
    <row r="6" spans="1:14" ht="15" customHeight="1" x14ac:dyDescent="0.25">
      <c r="A6" s="75" t="s">
        <v>36</v>
      </c>
      <c r="B6" s="177"/>
      <c r="C6" s="177"/>
      <c r="D6" s="6"/>
      <c r="E6" s="7"/>
    </row>
    <row r="7" spans="1:14" ht="15" customHeight="1" x14ac:dyDescent="0.25">
      <c r="A7" s="7"/>
      <c r="B7" s="196" t="s">
        <v>34</v>
      </c>
      <c r="C7" s="196"/>
      <c r="D7" s="10"/>
    </row>
    <row r="8" spans="1:14" ht="20.100000000000001" customHeight="1" x14ac:dyDescent="0.25">
      <c r="B8" s="11"/>
      <c r="C8" s="11"/>
      <c r="D8" s="12" t="s">
        <v>31</v>
      </c>
      <c r="F8" s="180" t="s">
        <v>32</v>
      </c>
      <c r="G8" s="181"/>
      <c r="H8" s="182"/>
    </row>
    <row r="9" spans="1:14" s="14" customFormat="1" ht="20.100000000000001" customHeight="1" x14ac:dyDescent="0.25">
      <c r="A9" s="197"/>
      <c r="B9" s="197"/>
      <c r="C9" s="197"/>
      <c r="D9" s="13">
        <f>SUM(D27,D46,D65,D84,D103,D122,D141,D160)</f>
        <v>20410</v>
      </c>
      <c r="F9" s="15" t="s">
        <v>28</v>
      </c>
      <c r="G9" s="15" t="s">
        <v>29</v>
      </c>
      <c r="H9" s="15" t="s">
        <v>30</v>
      </c>
      <c r="I9" s="16"/>
      <c r="J9" s="16"/>
      <c r="K9" s="16"/>
      <c r="L9" s="16"/>
      <c r="M9" s="16"/>
      <c r="N9" s="16"/>
    </row>
    <row r="10" spans="1:14" s="17" customFormat="1" ht="23.1" customHeight="1" x14ac:dyDescent="0.3">
      <c r="A10" s="198" t="s">
        <v>51</v>
      </c>
      <c r="B10" s="198"/>
      <c r="C10" s="198"/>
      <c r="D10" s="198"/>
      <c r="F10" s="183" t="s">
        <v>66</v>
      </c>
      <c r="G10" s="184"/>
      <c r="H10" s="185"/>
      <c r="I10" s="18"/>
      <c r="J10" s="18"/>
      <c r="K10" s="18"/>
      <c r="L10" s="18"/>
      <c r="M10" s="19"/>
      <c r="N10" s="20"/>
    </row>
    <row r="11" spans="1:14" s="24" customFormat="1" ht="12.75" customHeight="1" x14ac:dyDescent="0.25">
      <c r="A11" s="21" t="s">
        <v>21</v>
      </c>
      <c r="B11" s="22" t="s">
        <v>22</v>
      </c>
      <c r="C11" s="22" t="s">
        <v>23</v>
      </c>
      <c r="D11" s="23" t="s">
        <v>25</v>
      </c>
      <c r="F11" s="186"/>
      <c r="G11" s="187"/>
      <c r="H11" s="188"/>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78" t="s">
        <v>53</v>
      </c>
      <c r="B27" s="179"/>
      <c r="C27" s="179"/>
      <c r="D27" s="96">
        <f>SUM(Grass_98[Amount])</f>
        <v>0</v>
      </c>
      <c r="F27" s="173" t="s">
        <v>33</v>
      </c>
      <c r="G27" s="174"/>
      <c r="H27" s="174"/>
      <c r="I27" s="35"/>
      <c r="J27" s="35"/>
      <c r="K27" s="35"/>
      <c r="L27" s="35"/>
      <c r="M27" s="36"/>
      <c r="N27" s="37"/>
    </row>
    <row r="28" spans="1:14" s="40" customFormat="1" ht="11.1" customHeight="1" x14ac:dyDescent="0.3">
      <c r="A28" s="38"/>
      <c r="B28" s="38"/>
      <c r="C28" s="38"/>
      <c r="D28" s="39"/>
      <c r="F28" s="173"/>
      <c r="G28" s="174"/>
      <c r="H28" s="174"/>
      <c r="I28" s="35"/>
      <c r="J28" s="35"/>
      <c r="K28" s="35"/>
      <c r="L28" s="35"/>
      <c r="M28" s="36"/>
      <c r="N28" s="37"/>
    </row>
    <row r="29" spans="1:14" s="17" customFormat="1" ht="23.1" customHeight="1" x14ac:dyDescent="0.3">
      <c r="A29" s="191" t="s">
        <v>67</v>
      </c>
      <c r="B29" s="192"/>
      <c r="C29" s="192"/>
      <c r="D29" s="193"/>
      <c r="F29" s="183" t="s">
        <v>52</v>
      </c>
      <c r="G29" s="184"/>
      <c r="H29" s="185"/>
      <c r="I29" s="18"/>
      <c r="J29" s="18"/>
      <c r="K29" s="18"/>
      <c r="L29" s="18"/>
      <c r="M29" s="19"/>
      <c r="N29" s="20"/>
    </row>
    <row r="30" spans="1:14" s="41" customFormat="1" ht="12.75" customHeight="1" x14ac:dyDescent="0.25">
      <c r="A30" s="21" t="s">
        <v>21</v>
      </c>
      <c r="B30" s="22" t="s">
        <v>22</v>
      </c>
      <c r="C30" s="22" t="s">
        <v>23</v>
      </c>
      <c r="D30" s="23" t="s">
        <v>25</v>
      </c>
      <c r="F30" s="186"/>
      <c r="G30" s="187"/>
      <c r="H30" s="188"/>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31"/>
      <c r="J44" s="29"/>
      <c r="K44" s="29"/>
      <c r="L44" s="131"/>
      <c r="M44" s="30"/>
      <c r="N44" s="16"/>
    </row>
    <row r="45" spans="1:14" x14ac:dyDescent="0.3">
      <c r="A45" s="106"/>
      <c r="B45" s="107"/>
      <c r="C45" s="107"/>
      <c r="D45" s="114"/>
      <c r="F45" s="103"/>
      <c r="G45" s="104"/>
      <c r="H45" s="109"/>
      <c r="I45" s="131"/>
      <c r="J45" s="29"/>
      <c r="K45" s="29"/>
      <c r="L45" s="131"/>
      <c r="M45" s="30"/>
      <c r="N45" s="16"/>
    </row>
    <row r="46" spans="1:14" s="34" customFormat="1" x14ac:dyDescent="0.3">
      <c r="A46" s="178" t="s">
        <v>54</v>
      </c>
      <c r="B46" s="179"/>
      <c r="C46" s="179"/>
      <c r="D46" s="96">
        <f>SUM(Tree_98[Amount])</f>
        <v>0</v>
      </c>
      <c r="F46" s="173" t="s">
        <v>33</v>
      </c>
      <c r="G46" s="174"/>
      <c r="H46" s="174"/>
      <c r="I46" s="43"/>
      <c r="J46" s="43"/>
      <c r="K46" s="43"/>
      <c r="L46" s="43"/>
      <c r="M46" s="36"/>
      <c r="N46" s="37"/>
    </row>
    <row r="47" spans="1:14" s="40" customFormat="1" ht="11.1" customHeight="1" x14ac:dyDescent="0.3">
      <c r="A47" s="38"/>
      <c r="B47" s="38"/>
      <c r="C47" s="38"/>
      <c r="D47" s="39"/>
      <c r="F47" s="173"/>
      <c r="G47" s="174"/>
      <c r="H47" s="174"/>
      <c r="I47" s="43"/>
      <c r="J47" s="43"/>
      <c r="K47" s="43"/>
      <c r="L47" s="43"/>
      <c r="M47" s="36"/>
      <c r="N47" s="37"/>
    </row>
    <row r="48" spans="1:14" s="17" customFormat="1" ht="23.1" customHeight="1" x14ac:dyDescent="0.3">
      <c r="A48" s="191" t="s">
        <v>68</v>
      </c>
      <c r="B48" s="192"/>
      <c r="C48" s="192"/>
      <c r="D48" s="193"/>
      <c r="F48" s="183" t="s">
        <v>55</v>
      </c>
      <c r="G48" s="184"/>
      <c r="H48" s="185"/>
      <c r="I48" s="44"/>
      <c r="J48" s="44"/>
      <c r="K48" s="44"/>
      <c r="L48" s="44"/>
      <c r="M48" s="19"/>
      <c r="N48" s="20"/>
    </row>
    <row r="49" spans="1:14" s="41" customFormat="1" ht="12.75" customHeight="1" x14ac:dyDescent="0.25">
      <c r="A49" s="21" t="s">
        <v>21</v>
      </c>
      <c r="B49" s="22" t="s">
        <v>22</v>
      </c>
      <c r="C49" s="22" t="s">
        <v>23</v>
      </c>
      <c r="D49" s="23" t="s">
        <v>25</v>
      </c>
      <c r="F49" s="186"/>
      <c r="G49" s="187"/>
      <c r="H49" s="188"/>
      <c r="I49" s="131"/>
      <c r="J49" s="131"/>
      <c r="K49" s="131"/>
      <c r="L49" s="131"/>
      <c r="M49" s="30"/>
      <c r="N49" s="42"/>
    </row>
    <row r="50" spans="1:14" x14ac:dyDescent="0.3">
      <c r="A50" s="100"/>
      <c r="B50" s="101"/>
      <c r="C50" s="101"/>
      <c r="D50" s="112"/>
      <c r="F50" s="103"/>
      <c r="G50" s="104"/>
      <c r="H50" s="109"/>
      <c r="I50" s="131"/>
      <c r="J50" s="131"/>
      <c r="K50" s="131"/>
      <c r="L50" s="131"/>
      <c r="M50" s="30"/>
      <c r="N50" s="16"/>
    </row>
    <row r="51" spans="1:14" x14ac:dyDescent="0.3">
      <c r="A51" s="106"/>
      <c r="B51" s="107"/>
      <c r="C51" s="107"/>
      <c r="D51" s="113"/>
      <c r="F51" s="103"/>
      <c r="G51" s="104"/>
      <c r="H51" s="109"/>
      <c r="I51" s="131"/>
      <c r="J51" s="131"/>
      <c r="K51" s="131"/>
      <c r="L51" s="131"/>
      <c r="M51" s="30"/>
      <c r="N51" s="16"/>
    </row>
    <row r="52" spans="1:14" x14ac:dyDescent="0.3">
      <c r="A52" s="106"/>
      <c r="B52" s="107"/>
      <c r="C52" s="107"/>
      <c r="D52" s="114"/>
      <c r="F52" s="103"/>
      <c r="H52" s="109"/>
      <c r="I52" s="131"/>
      <c r="J52" s="131"/>
      <c r="K52" s="131"/>
      <c r="L52" s="131"/>
      <c r="M52" s="30"/>
      <c r="N52" s="16"/>
    </row>
    <row r="53" spans="1:14" x14ac:dyDescent="0.3">
      <c r="A53" s="106"/>
      <c r="B53" s="107"/>
      <c r="C53" s="107"/>
      <c r="D53" s="113"/>
      <c r="F53" s="103"/>
      <c r="G53" s="104"/>
      <c r="H53" s="109"/>
      <c r="I53" s="131"/>
      <c r="J53" s="131"/>
      <c r="K53" s="131"/>
      <c r="L53" s="131"/>
      <c r="M53" s="30"/>
      <c r="N53" s="16"/>
    </row>
    <row r="54" spans="1:14" x14ac:dyDescent="0.3">
      <c r="A54" s="106"/>
      <c r="B54" s="107"/>
      <c r="C54" s="107"/>
      <c r="D54" s="114"/>
      <c r="F54" s="103"/>
      <c r="G54" s="104"/>
      <c r="H54" s="109"/>
      <c r="I54" s="131"/>
      <c r="J54" s="131"/>
      <c r="K54" s="131"/>
      <c r="L54" s="131"/>
      <c r="M54" s="30"/>
      <c r="N54" s="16"/>
    </row>
    <row r="55" spans="1:14" x14ac:dyDescent="0.3">
      <c r="A55" s="106"/>
      <c r="B55" s="107"/>
      <c r="C55" s="107"/>
      <c r="D55" s="113"/>
      <c r="F55" s="103"/>
      <c r="G55" s="104"/>
      <c r="H55" s="109"/>
      <c r="I55" s="131"/>
      <c r="J55" s="131"/>
      <c r="K55" s="131"/>
      <c r="L55" s="131"/>
      <c r="M55" s="30"/>
      <c r="N55" s="16"/>
    </row>
    <row r="56" spans="1:14" x14ac:dyDescent="0.3">
      <c r="A56" s="106"/>
      <c r="B56" s="107"/>
      <c r="C56" s="107"/>
      <c r="D56" s="114"/>
      <c r="F56" s="103"/>
      <c r="G56" s="104"/>
      <c r="H56" s="109"/>
      <c r="I56" s="131"/>
      <c r="J56" s="131"/>
      <c r="K56" s="131"/>
      <c r="L56" s="131"/>
      <c r="M56" s="30"/>
      <c r="N56" s="16"/>
    </row>
    <row r="57" spans="1:14" x14ac:dyDescent="0.3">
      <c r="A57" s="106"/>
      <c r="B57" s="107"/>
      <c r="C57" s="107"/>
      <c r="D57" s="113"/>
      <c r="F57" s="103"/>
      <c r="G57" s="104"/>
      <c r="H57" s="109"/>
      <c r="I57" s="131"/>
      <c r="J57" s="131"/>
      <c r="K57" s="131"/>
      <c r="L57" s="131"/>
      <c r="M57" s="30"/>
      <c r="N57" s="16"/>
    </row>
    <row r="58" spans="1:14" x14ac:dyDescent="0.3">
      <c r="A58" s="106"/>
      <c r="B58" s="107"/>
      <c r="C58" s="107"/>
      <c r="D58" s="114"/>
      <c r="F58" s="103"/>
      <c r="G58" s="104"/>
      <c r="H58" s="109"/>
      <c r="I58" s="131"/>
      <c r="J58" s="131"/>
      <c r="K58" s="131"/>
      <c r="L58" s="131"/>
      <c r="M58" s="30"/>
      <c r="N58" s="16"/>
    </row>
    <row r="59" spans="1:14" x14ac:dyDescent="0.3">
      <c r="A59" s="106"/>
      <c r="B59" s="107"/>
      <c r="C59" s="107"/>
      <c r="D59" s="113"/>
      <c r="F59" s="103"/>
      <c r="G59" s="104"/>
      <c r="H59" s="109"/>
      <c r="I59" s="131"/>
      <c r="J59" s="190"/>
      <c r="K59" s="190"/>
      <c r="L59" s="131"/>
      <c r="M59" s="30"/>
      <c r="N59" s="16"/>
    </row>
    <row r="60" spans="1:14" x14ac:dyDescent="0.3">
      <c r="A60" s="106"/>
      <c r="B60" s="107"/>
      <c r="C60" s="107"/>
      <c r="D60" s="114"/>
      <c r="F60" s="103"/>
      <c r="G60" s="104"/>
      <c r="H60" s="109"/>
      <c r="I60" s="189"/>
      <c r="J60" s="189"/>
      <c r="K60" s="189"/>
      <c r="L60" s="189"/>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78" t="s">
        <v>56</v>
      </c>
      <c r="B65" s="179"/>
      <c r="C65" s="179"/>
      <c r="D65" s="96">
        <f>SUM(Pest_98[Amount])</f>
        <v>0</v>
      </c>
      <c r="F65" s="173" t="s">
        <v>33</v>
      </c>
      <c r="G65" s="174"/>
      <c r="H65" s="174"/>
    </row>
    <row r="66" spans="1:8" x14ac:dyDescent="0.3">
      <c r="F66" s="173"/>
      <c r="G66" s="174"/>
      <c r="H66" s="174"/>
    </row>
    <row r="67" spans="1:8" ht="17.399999999999999" x14ac:dyDescent="0.3">
      <c r="A67" s="198" t="s">
        <v>69</v>
      </c>
      <c r="B67" s="198"/>
      <c r="C67" s="198"/>
      <c r="D67" s="198"/>
      <c r="E67" s="17"/>
      <c r="F67" s="183" t="s">
        <v>57</v>
      </c>
      <c r="G67" s="184"/>
      <c r="H67" s="185"/>
    </row>
    <row r="68" spans="1:8" x14ac:dyDescent="0.3">
      <c r="A68" s="21" t="s">
        <v>21</v>
      </c>
      <c r="B68" s="22" t="s">
        <v>22</v>
      </c>
      <c r="C68" s="22" t="s">
        <v>23</v>
      </c>
      <c r="D68" s="23" t="s">
        <v>25</v>
      </c>
      <c r="E68" s="24"/>
      <c r="F68" s="186"/>
      <c r="G68" s="187"/>
      <c r="H68" s="188"/>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78" t="s">
        <v>58</v>
      </c>
      <c r="B84" s="179"/>
      <c r="C84" s="179"/>
      <c r="D84" s="96">
        <f>SUM(Garbage_98[Amount])</f>
        <v>0</v>
      </c>
      <c r="E84" s="34"/>
      <c r="F84" s="173" t="s">
        <v>33</v>
      </c>
      <c r="G84" s="174"/>
      <c r="H84" s="174"/>
    </row>
    <row r="85" spans="1:8" x14ac:dyDescent="0.3">
      <c r="A85" s="38"/>
      <c r="B85" s="38"/>
      <c r="C85" s="38"/>
      <c r="D85" s="39"/>
      <c r="E85" s="40"/>
      <c r="F85" s="173"/>
      <c r="G85" s="174"/>
      <c r="H85" s="174"/>
    </row>
    <row r="86" spans="1:8" ht="17.399999999999999" x14ac:dyDescent="0.3">
      <c r="A86" s="191" t="s">
        <v>59</v>
      </c>
      <c r="B86" s="192"/>
      <c r="C86" s="192"/>
      <c r="D86" s="193"/>
      <c r="E86" s="17"/>
      <c r="F86" s="183" t="s">
        <v>60</v>
      </c>
      <c r="G86" s="184"/>
      <c r="H86" s="185"/>
    </row>
    <row r="87" spans="1:8" x14ac:dyDescent="0.3">
      <c r="A87" s="21" t="s">
        <v>21</v>
      </c>
      <c r="B87" s="22" t="s">
        <v>22</v>
      </c>
      <c r="C87" s="22" t="s">
        <v>23</v>
      </c>
      <c r="D87" s="23" t="s">
        <v>25</v>
      </c>
      <c r="E87" s="41"/>
      <c r="F87" s="186"/>
      <c r="G87" s="187"/>
      <c r="H87" s="188"/>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78" t="s">
        <v>61</v>
      </c>
      <c r="B103" s="179"/>
      <c r="C103" s="179"/>
      <c r="D103" s="96">
        <f>SUM(Boarding_98[Amount])</f>
        <v>0</v>
      </c>
      <c r="E103" s="34"/>
      <c r="F103" s="173" t="s">
        <v>33</v>
      </c>
      <c r="G103" s="174"/>
      <c r="H103" s="174"/>
    </row>
    <row r="104" spans="1:8" x14ac:dyDescent="0.3">
      <c r="A104" s="38"/>
      <c r="B104" s="38"/>
      <c r="C104" s="38"/>
      <c r="D104" s="39"/>
      <c r="E104" s="40"/>
      <c r="F104" s="173"/>
      <c r="G104" s="174"/>
      <c r="H104" s="174"/>
    </row>
    <row r="105" spans="1:8" ht="17.399999999999999" x14ac:dyDescent="0.3">
      <c r="A105" s="191" t="s">
        <v>70</v>
      </c>
      <c r="B105" s="192"/>
      <c r="C105" s="192"/>
      <c r="D105" s="193"/>
      <c r="E105" s="17"/>
      <c r="F105" s="183" t="s">
        <v>62</v>
      </c>
      <c r="G105" s="184"/>
      <c r="H105" s="185"/>
    </row>
    <row r="106" spans="1:8" x14ac:dyDescent="0.3">
      <c r="A106" s="21" t="s">
        <v>21</v>
      </c>
      <c r="B106" s="22" t="s">
        <v>22</v>
      </c>
      <c r="C106" s="22" t="s">
        <v>23</v>
      </c>
      <c r="D106" s="23" t="s">
        <v>25</v>
      </c>
      <c r="E106" s="41"/>
      <c r="F106" s="186"/>
      <c r="G106" s="187"/>
      <c r="H106" s="188"/>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78" t="s">
        <v>63</v>
      </c>
      <c r="B122" s="179"/>
      <c r="C122" s="179"/>
      <c r="D122" s="96">
        <f>SUM(Fence_98[Amount])</f>
        <v>0</v>
      </c>
      <c r="E122" s="34"/>
      <c r="F122" s="173" t="s">
        <v>33</v>
      </c>
      <c r="G122" s="174"/>
      <c r="H122" s="174"/>
    </row>
    <row r="123" spans="1:8" x14ac:dyDescent="0.3">
      <c r="F123" s="173"/>
      <c r="G123" s="174"/>
      <c r="H123" s="174"/>
    </row>
    <row r="124" spans="1:8" ht="17.399999999999999" x14ac:dyDescent="0.3">
      <c r="A124" s="191" t="s">
        <v>26</v>
      </c>
      <c r="B124" s="192"/>
      <c r="C124" s="192"/>
      <c r="D124" s="193"/>
      <c r="E124" s="17"/>
      <c r="F124" s="183" t="s">
        <v>11</v>
      </c>
      <c r="G124" s="184"/>
      <c r="H124" s="185"/>
    </row>
    <row r="125" spans="1:8" x14ac:dyDescent="0.3">
      <c r="A125" s="21" t="s">
        <v>21</v>
      </c>
      <c r="B125" s="22" t="s">
        <v>22</v>
      </c>
      <c r="C125" s="22" t="s">
        <v>23</v>
      </c>
      <c r="D125" s="23" t="s">
        <v>25</v>
      </c>
      <c r="E125" s="41"/>
      <c r="F125" s="186"/>
      <c r="G125" s="187"/>
      <c r="H125" s="188"/>
    </row>
    <row r="126" spans="1:8" x14ac:dyDescent="0.3">
      <c r="A126" s="100"/>
      <c r="B126" s="101"/>
      <c r="C126" s="101"/>
      <c r="D126" s="112">
        <v>20410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78" t="s">
        <v>27</v>
      </c>
      <c r="B141" s="179"/>
      <c r="C141" s="179"/>
      <c r="D141" s="96">
        <f>SUM(Demolition_98[Amount])</f>
        <v>20410</v>
      </c>
      <c r="E141" s="34"/>
      <c r="F141" s="173" t="s">
        <v>33</v>
      </c>
      <c r="G141" s="174"/>
      <c r="H141" s="174"/>
    </row>
    <row r="142" spans="1:8" x14ac:dyDescent="0.3">
      <c r="A142" s="38"/>
      <c r="B142" s="38"/>
      <c r="C142" s="38"/>
      <c r="D142" s="39"/>
      <c r="E142" s="40"/>
      <c r="F142" s="173"/>
      <c r="G142" s="174"/>
      <c r="H142" s="174"/>
    </row>
    <row r="143" spans="1:8" ht="17.399999999999999" x14ac:dyDescent="0.3">
      <c r="A143" s="191" t="s">
        <v>64</v>
      </c>
      <c r="B143" s="192"/>
      <c r="C143" s="192"/>
      <c r="D143" s="193"/>
      <c r="E143" s="17"/>
      <c r="F143" s="183" t="s">
        <v>44</v>
      </c>
      <c r="G143" s="184"/>
      <c r="H143" s="185"/>
    </row>
    <row r="144" spans="1:8" x14ac:dyDescent="0.3">
      <c r="A144" s="21" t="s">
        <v>21</v>
      </c>
      <c r="B144" s="22" t="s">
        <v>22</v>
      </c>
      <c r="C144" s="22" t="s">
        <v>23</v>
      </c>
      <c r="D144" s="23" t="s">
        <v>25</v>
      </c>
      <c r="E144" s="41"/>
      <c r="F144" s="186"/>
      <c r="G144" s="187"/>
      <c r="H144" s="188"/>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78" t="s">
        <v>65</v>
      </c>
      <c r="B160" s="179"/>
      <c r="C160" s="179"/>
      <c r="D160" s="96">
        <f>SUM(Rehab_98[Amount])</f>
        <v>0</v>
      </c>
      <c r="E160" s="34"/>
      <c r="F160" s="173" t="s">
        <v>33</v>
      </c>
      <c r="G160" s="174"/>
      <c r="H160" s="174"/>
    </row>
    <row r="161" spans="6:8" x14ac:dyDescent="0.3">
      <c r="F161" s="173"/>
      <c r="G161" s="174"/>
      <c r="H161" s="174"/>
    </row>
  </sheetData>
  <sheetProtection algorithmName="SHA-512" hashValue="1h921Phr4yuG+rcdpbu3shhvfCZc+E+sF21APyXBG5RDLXhKMvSwQCl3OxKkjXAb9fVsh7MXcfX1BscPNWNqnQ==" saltValue="PNkQ01p3jYZQVDu2tZ8nUA=="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101</vt:i4>
      </vt:variant>
      <vt:variant>
        <vt:lpstr>Named Ranges</vt:lpstr>
      </vt:variant>
      <vt:variant>
        <vt:i4>101</vt:i4>
      </vt:variant>
    </vt:vector>
  </HeadingPairs>
  <TitlesOfParts>
    <vt:vector size="202" baseType="lpstr">
      <vt:lpstr>Summary Sheet</vt:lpstr>
      <vt:lpstr>(Property 1)</vt:lpstr>
      <vt:lpstr>(Property 2)</vt:lpstr>
      <vt:lpstr>(Property 3)</vt:lpstr>
      <vt:lpstr>(Property 4)</vt:lpstr>
      <vt:lpstr>(Property 5)</vt:lpstr>
      <vt:lpstr>(Property 6)</vt:lpstr>
      <vt:lpstr>(Property 7)</vt:lpstr>
      <vt:lpstr>(Property 8)</vt:lpstr>
      <vt:lpstr>(Property 9)</vt:lpstr>
      <vt:lpstr>(Property 10)</vt:lpstr>
      <vt:lpstr>(Property 11)</vt:lpstr>
      <vt:lpstr>(Property 12)</vt:lpstr>
      <vt:lpstr>(Property 13)</vt:lpstr>
      <vt:lpstr>(Property 14)</vt:lpstr>
      <vt:lpstr>(Property 15)</vt:lpstr>
      <vt:lpstr>(Property 16)</vt:lpstr>
      <vt:lpstr>(Property 17)</vt:lpstr>
      <vt:lpstr>(Property 18)</vt:lpstr>
      <vt:lpstr>(Property 19)</vt:lpstr>
      <vt:lpstr>(Property 20)</vt:lpstr>
      <vt:lpstr>(Property 21)</vt:lpstr>
      <vt:lpstr>(Property 22)</vt:lpstr>
      <vt:lpstr>(Property 23)</vt:lpstr>
      <vt:lpstr>(Property 24)</vt:lpstr>
      <vt:lpstr>(Property 25)</vt:lpstr>
      <vt:lpstr>(Property 26)</vt:lpstr>
      <vt:lpstr>(Property 27)</vt:lpstr>
      <vt:lpstr>(Property 28)</vt:lpstr>
      <vt:lpstr>(Property 29)</vt:lpstr>
      <vt:lpstr>(Property 30)</vt:lpstr>
      <vt:lpstr>(Property 31)</vt:lpstr>
      <vt:lpstr>(Property 32)</vt:lpstr>
      <vt:lpstr>(Property 33)</vt:lpstr>
      <vt:lpstr>(Property 34)</vt:lpstr>
      <vt:lpstr>(Property 35)</vt:lpstr>
      <vt:lpstr>(Property 36)</vt:lpstr>
      <vt:lpstr>(Property 37)</vt:lpstr>
      <vt:lpstr>(Property 38)</vt:lpstr>
      <vt:lpstr>(Property 39)</vt:lpstr>
      <vt:lpstr>(Property 40)</vt:lpstr>
      <vt:lpstr>(Property 41)</vt:lpstr>
      <vt:lpstr>(Property 42)</vt:lpstr>
      <vt:lpstr>(Property 43)</vt:lpstr>
      <vt:lpstr>(Property 44)</vt:lpstr>
      <vt:lpstr>(Property 45)</vt:lpstr>
      <vt:lpstr>(Property 46)</vt:lpstr>
      <vt:lpstr>(Property 47)</vt:lpstr>
      <vt:lpstr>(Property 48)</vt:lpstr>
      <vt:lpstr>(Property 49)</vt:lpstr>
      <vt:lpstr>(Property 50)</vt:lpstr>
      <vt:lpstr>(Property 51)</vt:lpstr>
      <vt:lpstr>(Property 52)</vt:lpstr>
      <vt:lpstr>(Property 53)</vt:lpstr>
      <vt:lpstr>(Property 54)</vt:lpstr>
      <vt:lpstr>(Property 55)</vt:lpstr>
      <vt:lpstr>(Property 56)</vt:lpstr>
      <vt:lpstr>(Property 57)</vt:lpstr>
      <vt:lpstr>(Property 58)</vt:lpstr>
      <vt:lpstr>(Property 59)</vt:lpstr>
      <vt:lpstr>(Property 60)</vt:lpstr>
      <vt:lpstr>(Property 61)</vt:lpstr>
      <vt:lpstr>(Property 62)</vt:lpstr>
      <vt:lpstr>(Property 63)</vt:lpstr>
      <vt:lpstr>(Property 64)</vt:lpstr>
      <vt:lpstr>(Property 65)</vt:lpstr>
      <vt:lpstr>(Property 66)</vt:lpstr>
      <vt:lpstr>(Property 67)</vt:lpstr>
      <vt:lpstr>(Property 68)</vt:lpstr>
      <vt:lpstr>(Property 69)</vt:lpstr>
      <vt:lpstr>(Property 70)</vt:lpstr>
      <vt:lpstr>(Property 71)</vt:lpstr>
      <vt:lpstr>(Property 72)</vt:lpstr>
      <vt:lpstr>(Property 73)</vt:lpstr>
      <vt:lpstr>(Property 74)</vt:lpstr>
      <vt:lpstr>(Property 75)</vt:lpstr>
      <vt:lpstr>(Property 76)</vt:lpstr>
      <vt:lpstr>(Property 77)</vt:lpstr>
      <vt:lpstr>(Property 78)</vt:lpstr>
      <vt:lpstr>(Property 79)</vt:lpstr>
      <vt:lpstr>(Property 80)</vt:lpstr>
      <vt:lpstr>(Property 81)</vt:lpstr>
      <vt:lpstr>(Property 82)</vt:lpstr>
      <vt:lpstr>(Property 83)</vt:lpstr>
      <vt:lpstr>(Property 84)</vt:lpstr>
      <vt:lpstr>(Property 85)</vt:lpstr>
      <vt:lpstr>(Property 86)</vt:lpstr>
      <vt:lpstr>(Property 87)</vt:lpstr>
      <vt:lpstr>(Property 88)</vt:lpstr>
      <vt:lpstr>(Property 89)</vt:lpstr>
      <vt:lpstr>(Property 90)</vt:lpstr>
      <vt:lpstr>(Property 91)</vt:lpstr>
      <vt:lpstr>(Property 92)</vt:lpstr>
      <vt:lpstr>(Property 93)</vt:lpstr>
      <vt:lpstr>(Property 94)</vt:lpstr>
      <vt:lpstr>(Property 95)</vt:lpstr>
      <vt:lpstr>(Property 96)</vt:lpstr>
      <vt:lpstr>(Property 97)</vt:lpstr>
      <vt:lpstr>(Property 98)</vt:lpstr>
      <vt:lpstr>(Property 99)</vt:lpstr>
      <vt:lpstr>(Property 100)</vt:lpstr>
      <vt:lpstr>'(Property 1)'!Print_Area</vt:lpstr>
      <vt:lpstr>'(Property 10)'!Print_Area</vt:lpstr>
      <vt:lpstr>'(Property 100)'!Print_Area</vt:lpstr>
      <vt:lpstr>'(Property 11)'!Print_Area</vt:lpstr>
      <vt:lpstr>'(Property 12)'!Print_Area</vt:lpstr>
      <vt:lpstr>'(Property 13)'!Print_Area</vt:lpstr>
      <vt:lpstr>'(Property 14)'!Print_Area</vt:lpstr>
      <vt:lpstr>'(Property 15)'!Print_Area</vt:lpstr>
      <vt:lpstr>'(Property 16)'!Print_Area</vt:lpstr>
      <vt:lpstr>'(Property 17)'!Print_Area</vt:lpstr>
      <vt:lpstr>'(Property 18)'!Print_Area</vt:lpstr>
      <vt:lpstr>'(Property 19)'!Print_Area</vt:lpstr>
      <vt:lpstr>'(Property 2)'!Print_Area</vt:lpstr>
      <vt:lpstr>'(Property 20)'!Print_Area</vt:lpstr>
      <vt:lpstr>'(Property 21)'!Print_Area</vt:lpstr>
      <vt:lpstr>'(Property 22)'!Print_Area</vt:lpstr>
      <vt:lpstr>'(Property 23)'!Print_Area</vt:lpstr>
      <vt:lpstr>'(Property 24)'!Print_Area</vt:lpstr>
      <vt:lpstr>'(Property 25)'!Print_Area</vt:lpstr>
      <vt:lpstr>'(Property 26)'!Print_Area</vt:lpstr>
      <vt:lpstr>'(Property 27)'!Print_Area</vt:lpstr>
      <vt:lpstr>'(Property 28)'!Print_Area</vt:lpstr>
      <vt:lpstr>'(Property 29)'!Print_Area</vt:lpstr>
      <vt:lpstr>'(Property 3)'!Print_Area</vt:lpstr>
      <vt:lpstr>'(Property 30)'!Print_Area</vt:lpstr>
      <vt:lpstr>'(Property 31)'!Print_Area</vt:lpstr>
      <vt:lpstr>'(Property 32)'!Print_Area</vt:lpstr>
      <vt:lpstr>'(Property 33)'!Print_Area</vt:lpstr>
      <vt:lpstr>'(Property 34)'!Print_Area</vt:lpstr>
      <vt:lpstr>'(Property 35)'!Print_Area</vt:lpstr>
      <vt:lpstr>'(Property 36)'!Print_Area</vt:lpstr>
      <vt:lpstr>'(Property 37)'!Print_Area</vt:lpstr>
      <vt:lpstr>'(Property 38)'!Print_Area</vt:lpstr>
      <vt:lpstr>'(Property 39)'!Print_Area</vt:lpstr>
      <vt:lpstr>'(Property 4)'!Print_Area</vt:lpstr>
      <vt:lpstr>'(Property 40)'!Print_Area</vt:lpstr>
      <vt:lpstr>'(Property 41)'!Print_Area</vt:lpstr>
      <vt:lpstr>'(Property 42)'!Print_Area</vt:lpstr>
      <vt:lpstr>'(Property 43)'!Print_Area</vt:lpstr>
      <vt:lpstr>'(Property 44)'!Print_Area</vt:lpstr>
      <vt:lpstr>'(Property 45)'!Print_Area</vt:lpstr>
      <vt:lpstr>'(Property 46)'!Print_Area</vt:lpstr>
      <vt:lpstr>'(Property 47)'!Print_Area</vt:lpstr>
      <vt:lpstr>'(Property 48)'!Print_Area</vt:lpstr>
      <vt:lpstr>'(Property 49)'!Print_Area</vt:lpstr>
      <vt:lpstr>'(Property 5)'!Print_Area</vt:lpstr>
      <vt:lpstr>'(Property 50)'!Print_Area</vt:lpstr>
      <vt:lpstr>'(Property 51)'!Print_Area</vt:lpstr>
      <vt:lpstr>'(Property 52)'!Print_Area</vt:lpstr>
      <vt:lpstr>'(Property 53)'!Print_Area</vt:lpstr>
      <vt:lpstr>'(Property 54)'!Print_Area</vt:lpstr>
      <vt:lpstr>'(Property 55)'!Print_Area</vt:lpstr>
      <vt:lpstr>'(Property 56)'!Print_Area</vt:lpstr>
      <vt:lpstr>'(Property 57)'!Print_Area</vt:lpstr>
      <vt:lpstr>'(Property 58)'!Print_Area</vt:lpstr>
      <vt:lpstr>'(Property 59)'!Print_Area</vt:lpstr>
      <vt:lpstr>'(Property 6)'!Print_Area</vt:lpstr>
      <vt:lpstr>'(Property 60)'!Print_Area</vt:lpstr>
      <vt:lpstr>'(Property 61)'!Print_Area</vt:lpstr>
      <vt:lpstr>'(Property 62)'!Print_Area</vt:lpstr>
      <vt:lpstr>'(Property 63)'!Print_Area</vt:lpstr>
      <vt:lpstr>'(Property 64)'!Print_Area</vt:lpstr>
      <vt:lpstr>'(Property 65)'!Print_Area</vt:lpstr>
      <vt:lpstr>'(Property 66)'!Print_Area</vt:lpstr>
      <vt:lpstr>'(Property 67)'!Print_Area</vt:lpstr>
      <vt:lpstr>'(Property 68)'!Print_Area</vt:lpstr>
      <vt:lpstr>'(Property 69)'!Print_Area</vt:lpstr>
      <vt:lpstr>'(Property 7)'!Print_Area</vt:lpstr>
      <vt:lpstr>'(Property 70)'!Print_Area</vt:lpstr>
      <vt:lpstr>'(Property 71)'!Print_Area</vt:lpstr>
      <vt:lpstr>'(Property 72)'!Print_Area</vt:lpstr>
      <vt:lpstr>'(Property 73)'!Print_Area</vt:lpstr>
      <vt:lpstr>'(Property 74)'!Print_Area</vt:lpstr>
      <vt:lpstr>'(Property 75)'!Print_Area</vt:lpstr>
      <vt:lpstr>'(Property 76)'!Print_Area</vt:lpstr>
      <vt:lpstr>'(Property 77)'!Print_Area</vt:lpstr>
      <vt:lpstr>'(Property 78)'!Print_Area</vt:lpstr>
      <vt:lpstr>'(Property 79)'!Print_Area</vt:lpstr>
      <vt:lpstr>'(Property 8)'!Print_Area</vt:lpstr>
      <vt:lpstr>'(Property 80)'!Print_Area</vt:lpstr>
      <vt:lpstr>'(Property 81)'!Print_Area</vt:lpstr>
      <vt:lpstr>'(Property 82)'!Print_Area</vt:lpstr>
      <vt:lpstr>'(Property 83)'!Print_Area</vt:lpstr>
      <vt:lpstr>'(Property 84)'!Print_Area</vt:lpstr>
      <vt:lpstr>'(Property 85)'!Print_Area</vt:lpstr>
      <vt:lpstr>'(Property 86)'!Print_Area</vt:lpstr>
      <vt:lpstr>'(Property 87)'!Print_Area</vt:lpstr>
      <vt:lpstr>'(Property 88)'!Print_Area</vt:lpstr>
      <vt:lpstr>'(Property 89)'!Print_Area</vt:lpstr>
      <vt:lpstr>'(Property 9)'!Print_Area</vt:lpstr>
      <vt:lpstr>'(Property 90)'!Print_Area</vt:lpstr>
      <vt:lpstr>'(Property 91)'!Print_Area</vt:lpstr>
      <vt:lpstr>'(Property 92)'!Print_Area</vt:lpstr>
      <vt:lpstr>'(Property 93)'!Print_Area</vt:lpstr>
      <vt:lpstr>'(Property 94)'!Print_Area</vt:lpstr>
      <vt:lpstr>'(Property 95)'!Print_Area</vt:lpstr>
      <vt:lpstr>'(Property 96)'!Print_Area</vt:lpstr>
      <vt:lpstr>'(Property 97)'!Print_Area</vt:lpstr>
      <vt:lpstr>'(Property 98)'!Print_Area</vt:lpstr>
      <vt:lpstr>'(Property 99)'!Print_Area</vt:lpstr>
      <vt:lpstr>'Summary Sheet'!Print_Area</vt:lpstr>
    </vt:vector>
  </TitlesOfParts>
  <Company>Information Technology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Emily Mueller</dc:creator>
  <cp:lastModifiedBy>Administrator</cp:lastModifiedBy>
  <cp:lastPrinted>2017-10-10T20:18:09Z</cp:lastPrinted>
  <dcterms:created xsi:type="dcterms:W3CDTF">2017-05-17T13:12:42Z</dcterms:created>
  <dcterms:modified xsi:type="dcterms:W3CDTF">2017-10-10T20:21:32Z</dcterms:modified>
</cp:coreProperties>
</file>