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180" windowWidth="23256" windowHeight="11520" tabRatio="609"/>
  </bookViews>
  <sheets>
    <sheet name="Summary Sheet" sheetId="1" r:id="rId1"/>
    <sheet name="(Property 1)" sheetId="2" r:id="rId2"/>
    <sheet name="(Property 2)" sheetId="23" r:id="rId3"/>
    <sheet name="(Property 3)" sheetId="24" r:id="rId4"/>
    <sheet name="(Property 4)" sheetId="25" r:id="rId5"/>
    <sheet name="(Property 5)" sheetId="26" r:id="rId6"/>
    <sheet name="(Property 6)" sheetId="27" r:id="rId7"/>
    <sheet name="(Property 7)" sheetId="28" r:id="rId8"/>
    <sheet name="(Property 8)" sheetId="29" r:id="rId9"/>
    <sheet name="(Property 9)" sheetId="30" r:id="rId10"/>
    <sheet name="(Property 10)" sheetId="31" r:id="rId11"/>
    <sheet name="(Property 11)" sheetId="32" r:id="rId12"/>
    <sheet name="(Property 12)" sheetId="33" r:id="rId13"/>
    <sheet name="(Property 13)" sheetId="34" r:id="rId14"/>
    <sheet name="(Property 14)" sheetId="35" r:id="rId15"/>
    <sheet name="(Property 15)" sheetId="36" r:id="rId16"/>
    <sheet name="(Property 16)" sheetId="37" r:id="rId17"/>
    <sheet name="(Property 17)" sheetId="38" r:id="rId18"/>
    <sheet name="(Property 18)" sheetId="39" r:id="rId19"/>
    <sheet name="(Property 19)" sheetId="40" r:id="rId20"/>
    <sheet name="(Property 20)" sheetId="41" r:id="rId21"/>
    <sheet name="(Property 21)" sheetId="42" r:id="rId22"/>
    <sheet name="(Property 22)" sheetId="43" r:id="rId23"/>
    <sheet name="(Property 23)" sheetId="44" r:id="rId24"/>
    <sheet name="(Property 24)" sheetId="45" r:id="rId25"/>
    <sheet name="(Property 25)" sheetId="46" r:id="rId26"/>
    <sheet name="(Property 26)" sheetId="47" r:id="rId27"/>
    <sheet name="(Property 27)" sheetId="48" r:id="rId28"/>
    <sheet name="(Property 28)" sheetId="49" r:id="rId29"/>
    <sheet name="(Property 29)" sheetId="50" r:id="rId30"/>
    <sheet name="(Property 30)" sheetId="51" r:id="rId31"/>
    <sheet name="(Property 31)" sheetId="52" r:id="rId32"/>
    <sheet name="(Property 32)" sheetId="53" r:id="rId33"/>
    <sheet name="(Property 33)" sheetId="54" r:id="rId34"/>
    <sheet name="(Property 34)" sheetId="55" r:id="rId35"/>
    <sheet name="(Property 35)" sheetId="56" r:id="rId36"/>
    <sheet name="(Property 36)" sheetId="57" r:id="rId37"/>
    <sheet name="(Property 37)" sheetId="58" r:id="rId38"/>
    <sheet name="(Property 38)" sheetId="59" r:id="rId39"/>
    <sheet name="(Property 39)" sheetId="60" r:id="rId40"/>
    <sheet name="(Property 40)" sheetId="61" r:id="rId41"/>
    <sheet name="(Property 41)" sheetId="62" r:id="rId42"/>
    <sheet name="(Property 42)" sheetId="63" r:id="rId43"/>
    <sheet name="(Property 43)" sheetId="64" r:id="rId44"/>
    <sheet name="(Property 44)" sheetId="65" r:id="rId45"/>
    <sheet name="(Property 45)" sheetId="66" r:id="rId46"/>
    <sheet name="(Property 46)" sheetId="67" r:id="rId47"/>
    <sheet name="(Property 47)" sheetId="68" r:id="rId48"/>
    <sheet name="(Property 48)" sheetId="69" r:id="rId49"/>
    <sheet name="(Property 49)" sheetId="70" r:id="rId50"/>
    <sheet name="(Property 50)" sheetId="71" r:id="rId51"/>
    <sheet name="(Property 51)" sheetId="72" r:id="rId52"/>
    <sheet name="(Property 52)" sheetId="73" r:id="rId53"/>
    <sheet name="(Property 53)" sheetId="74" r:id="rId54"/>
    <sheet name="(Property 54)" sheetId="75" r:id="rId55"/>
    <sheet name="(Property 55)" sheetId="76" r:id="rId56"/>
    <sheet name="(Property 56)" sheetId="77" r:id="rId57"/>
    <sheet name="(Property 57)" sheetId="78" r:id="rId58"/>
    <sheet name="(Property 58)" sheetId="80" r:id="rId59"/>
    <sheet name="(Property 59)" sheetId="79" r:id="rId60"/>
    <sheet name="(Property 60)" sheetId="81" r:id="rId61"/>
    <sheet name="(Property 61)" sheetId="82" r:id="rId62"/>
    <sheet name="(Property 62)" sheetId="83" r:id="rId63"/>
    <sheet name="(Property 63)" sheetId="84" r:id="rId64"/>
    <sheet name="(Property 64)" sheetId="85" r:id="rId65"/>
    <sheet name="(Property 65)" sheetId="86" r:id="rId66"/>
    <sheet name="(Property 66)" sheetId="87" r:id="rId67"/>
    <sheet name="(Property 67)" sheetId="88" r:id="rId68"/>
    <sheet name="(Property 68)" sheetId="89" r:id="rId69"/>
    <sheet name="(Property 69)" sheetId="90" r:id="rId70"/>
    <sheet name="(Property 70)" sheetId="91" r:id="rId71"/>
    <sheet name="(Property 71)" sheetId="92" r:id="rId72"/>
    <sheet name="(Property 72)" sheetId="93" r:id="rId73"/>
    <sheet name="(Property 73)" sheetId="94" r:id="rId74"/>
    <sheet name="(Property 74)" sheetId="95" r:id="rId75"/>
    <sheet name="(Property 75)" sheetId="96" r:id="rId76"/>
    <sheet name="(Property 76)" sheetId="97" r:id="rId77"/>
    <sheet name="(Property 77)" sheetId="98" r:id="rId78"/>
    <sheet name="(Property 78)" sheetId="99" r:id="rId79"/>
    <sheet name="(Property 79)" sheetId="100" r:id="rId80"/>
    <sheet name="(Property 80)" sheetId="101" r:id="rId81"/>
    <sheet name="(Property 81)" sheetId="102" r:id="rId82"/>
    <sheet name="(Property 82)" sheetId="103" r:id="rId83"/>
    <sheet name="(Property 83)" sheetId="104" r:id="rId84"/>
    <sheet name="(Property 84)" sheetId="105" r:id="rId85"/>
    <sheet name="(Property 85)" sheetId="106" r:id="rId86"/>
    <sheet name="(Property 86)" sheetId="107" r:id="rId87"/>
    <sheet name="(Property 87)" sheetId="108" r:id="rId88"/>
    <sheet name="(Property 88)" sheetId="110" r:id="rId89"/>
    <sheet name="(Property 89)" sheetId="109" r:id="rId90"/>
    <sheet name="(Property 90)" sheetId="111" r:id="rId91"/>
    <sheet name="(Property 91)" sheetId="112" r:id="rId92"/>
    <sheet name="(Property 92)" sheetId="113" r:id="rId93"/>
    <sheet name="(Property 93)" sheetId="114" r:id="rId94"/>
    <sheet name="(Property 94)" sheetId="115" r:id="rId95"/>
    <sheet name="(Property 95)" sheetId="116" r:id="rId96"/>
    <sheet name="(Property 96)" sheetId="117" r:id="rId97"/>
    <sheet name="(Property 97)" sheetId="118" r:id="rId98"/>
    <sheet name="(Property 98)" sheetId="120" r:id="rId99"/>
    <sheet name="(Property 99)" sheetId="121" r:id="rId100"/>
    <sheet name="(Property 100)" sheetId="119" r:id="rId101"/>
  </sheets>
  <definedNames>
    <definedName name="_xlnm.Print_Area" localSheetId="1">'(Property 1)'!$A:$D</definedName>
    <definedName name="_xlnm.Print_Area" localSheetId="10">'(Property 10)'!$A:$D</definedName>
    <definedName name="_xlnm.Print_Area" localSheetId="100">'(Property 100)'!$A:$D</definedName>
    <definedName name="_xlnm.Print_Area" localSheetId="11">'(Property 11)'!$A:$D</definedName>
    <definedName name="_xlnm.Print_Area" localSheetId="12">'(Property 12)'!$A:$D</definedName>
    <definedName name="_xlnm.Print_Area" localSheetId="13">'(Property 13)'!$A:$D</definedName>
    <definedName name="_xlnm.Print_Area" localSheetId="14">'(Property 14)'!$A:$D</definedName>
    <definedName name="_xlnm.Print_Area" localSheetId="15">'(Property 15)'!$A:$D</definedName>
    <definedName name="_xlnm.Print_Area" localSheetId="16">'(Property 16)'!$A:$D</definedName>
    <definedName name="_xlnm.Print_Area" localSheetId="17">'(Property 17)'!$A:$D</definedName>
    <definedName name="_xlnm.Print_Area" localSheetId="18">'(Property 18)'!$A:$D</definedName>
    <definedName name="_xlnm.Print_Area" localSheetId="19">'(Property 19)'!$A:$D</definedName>
    <definedName name="_xlnm.Print_Area" localSheetId="2">'(Property 2)'!$A:$D</definedName>
    <definedName name="_xlnm.Print_Area" localSheetId="20">'(Property 20)'!$A:$D</definedName>
    <definedName name="_xlnm.Print_Area" localSheetId="21">'(Property 21)'!$A:$D</definedName>
    <definedName name="_xlnm.Print_Area" localSheetId="22">'(Property 22)'!$A:$D</definedName>
    <definedName name="_xlnm.Print_Area" localSheetId="23">'(Property 23)'!$A:$D</definedName>
    <definedName name="_xlnm.Print_Area" localSheetId="24">'(Property 24)'!$A:$D</definedName>
    <definedName name="_xlnm.Print_Area" localSheetId="25">'(Property 25)'!$A:$D</definedName>
    <definedName name="_xlnm.Print_Area" localSheetId="26">'(Property 26)'!$A:$D</definedName>
    <definedName name="_xlnm.Print_Area" localSheetId="27">'(Property 27)'!$A:$D</definedName>
    <definedName name="_xlnm.Print_Area" localSheetId="28">'(Property 28)'!$A:$D</definedName>
    <definedName name="_xlnm.Print_Area" localSheetId="29">'(Property 29)'!$A:$D</definedName>
    <definedName name="_xlnm.Print_Area" localSheetId="3">'(Property 3)'!$A:$D</definedName>
    <definedName name="_xlnm.Print_Area" localSheetId="30">'(Property 30)'!$A:$D</definedName>
    <definedName name="_xlnm.Print_Area" localSheetId="31">'(Property 31)'!$A:$D</definedName>
    <definedName name="_xlnm.Print_Area" localSheetId="32">'(Property 32)'!$A:$D</definedName>
    <definedName name="_xlnm.Print_Area" localSheetId="33">'(Property 33)'!$A:$D</definedName>
    <definedName name="_xlnm.Print_Area" localSheetId="34">'(Property 34)'!$A:$D</definedName>
    <definedName name="_xlnm.Print_Area" localSheetId="35">'(Property 35)'!$A:$D</definedName>
    <definedName name="_xlnm.Print_Area" localSheetId="36">'(Property 36)'!$A:$D</definedName>
    <definedName name="_xlnm.Print_Area" localSheetId="37">'(Property 37)'!$A:$D</definedName>
    <definedName name="_xlnm.Print_Area" localSheetId="38">'(Property 38)'!$A:$D</definedName>
    <definedName name="_xlnm.Print_Area" localSheetId="39">'(Property 39)'!$A:$D</definedName>
    <definedName name="_xlnm.Print_Area" localSheetId="4">'(Property 4)'!$A:$D</definedName>
    <definedName name="_xlnm.Print_Area" localSheetId="40">'(Property 40)'!$A:$D</definedName>
    <definedName name="_xlnm.Print_Area" localSheetId="41">'(Property 41)'!$A:$D</definedName>
    <definedName name="_xlnm.Print_Area" localSheetId="42">'(Property 42)'!$A:$D</definedName>
    <definedName name="_xlnm.Print_Area" localSheetId="43">'(Property 43)'!$A:$D</definedName>
    <definedName name="_xlnm.Print_Area" localSheetId="44">'(Property 44)'!$A:$D</definedName>
    <definedName name="_xlnm.Print_Area" localSheetId="45">'(Property 45)'!$A:$D</definedName>
    <definedName name="_xlnm.Print_Area" localSheetId="46">'(Property 46)'!$A:$D</definedName>
    <definedName name="_xlnm.Print_Area" localSheetId="47">'(Property 47)'!$A:$D</definedName>
    <definedName name="_xlnm.Print_Area" localSheetId="48">'(Property 48)'!$A:$D</definedName>
    <definedName name="_xlnm.Print_Area" localSheetId="49">'(Property 49)'!$A:$D</definedName>
    <definedName name="_xlnm.Print_Area" localSheetId="5">'(Property 5)'!$A:$D</definedName>
    <definedName name="_xlnm.Print_Area" localSheetId="50">'(Property 50)'!$A:$D</definedName>
    <definedName name="_xlnm.Print_Area" localSheetId="51">'(Property 51)'!$A:$D</definedName>
    <definedName name="_xlnm.Print_Area" localSheetId="52">'(Property 52)'!$A:$D</definedName>
    <definedName name="_xlnm.Print_Area" localSheetId="53">'(Property 53)'!$A:$D</definedName>
    <definedName name="_xlnm.Print_Area" localSheetId="54">'(Property 54)'!$A:$D</definedName>
    <definedName name="_xlnm.Print_Area" localSheetId="55">'(Property 55)'!$A:$D</definedName>
    <definedName name="_xlnm.Print_Area" localSheetId="56">'(Property 56)'!$A:$D</definedName>
    <definedName name="_xlnm.Print_Area" localSheetId="57">'(Property 57)'!$A:$D</definedName>
    <definedName name="_xlnm.Print_Area" localSheetId="58">'(Property 58)'!$A:$D</definedName>
    <definedName name="_xlnm.Print_Area" localSheetId="59">'(Property 59)'!$A:$D</definedName>
    <definedName name="_xlnm.Print_Area" localSheetId="6">'(Property 6)'!$A:$D</definedName>
    <definedName name="_xlnm.Print_Area" localSheetId="60">'(Property 60)'!$A:$D</definedName>
    <definedName name="_xlnm.Print_Area" localSheetId="61">'(Property 61)'!$A:$D</definedName>
    <definedName name="_xlnm.Print_Area" localSheetId="62">'(Property 62)'!$A:$D</definedName>
    <definedName name="_xlnm.Print_Area" localSheetId="63">'(Property 63)'!$A:$D</definedName>
    <definedName name="_xlnm.Print_Area" localSheetId="64">'(Property 64)'!$A:$D</definedName>
    <definedName name="_xlnm.Print_Area" localSheetId="65">'(Property 65)'!$A:$D</definedName>
    <definedName name="_xlnm.Print_Area" localSheetId="66">'(Property 66)'!$A:$D</definedName>
    <definedName name="_xlnm.Print_Area" localSheetId="67">'(Property 67)'!$A:$D</definedName>
    <definedName name="_xlnm.Print_Area" localSheetId="68">'(Property 68)'!$A:$D</definedName>
    <definedName name="_xlnm.Print_Area" localSheetId="69">'(Property 69)'!$A:$D</definedName>
    <definedName name="_xlnm.Print_Area" localSheetId="7">'(Property 7)'!$A:$D</definedName>
    <definedName name="_xlnm.Print_Area" localSheetId="70">'(Property 70)'!$A:$D</definedName>
    <definedName name="_xlnm.Print_Area" localSheetId="71">'(Property 71)'!$A:$D</definedName>
    <definedName name="_xlnm.Print_Area" localSheetId="72">'(Property 72)'!$A:$D</definedName>
    <definedName name="_xlnm.Print_Area" localSheetId="73">'(Property 73)'!$A:$D</definedName>
    <definedName name="_xlnm.Print_Area" localSheetId="74">'(Property 74)'!$A:$D</definedName>
    <definedName name="_xlnm.Print_Area" localSheetId="75">'(Property 75)'!$A:$D</definedName>
    <definedName name="_xlnm.Print_Area" localSheetId="76">'(Property 76)'!$A:$D</definedName>
    <definedName name="_xlnm.Print_Area" localSheetId="77">'(Property 77)'!$A:$D</definedName>
    <definedName name="_xlnm.Print_Area" localSheetId="78">'(Property 78)'!$A:$D</definedName>
    <definedName name="_xlnm.Print_Area" localSheetId="79">'(Property 79)'!$A:$D</definedName>
    <definedName name="_xlnm.Print_Area" localSheetId="8">'(Property 8)'!$A:$D</definedName>
    <definedName name="_xlnm.Print_Area" localSheetId="80">'(Property 80)'!$A:$D</definedName>
    <definedName name="_xlnm.Print_Area" localSheetId="81">'(Property 81)'!$A:$D</definedName>
    <definedName name="_xlnm.Print_Area" localSheetId="82">'(Property 82)'!$A:$D</definedName>
    <definedName name="_xlnm.Print_Area" localSheetId="83">'(Property 83)'!$A:$D</definedName>
    <definedName name="_xlnm.Print_Area" localSheetId="84">'(Property 84)'!$A:$D</definedName>
    <definedName name="_xlnm.Print_Area" localSheetId="85">'(Property 85)'!$A:$D</definedName>
    <definedName name="_xlnm.Print_Area" localSheetId="86">'(Property 86)'!$A:$D</definedName>
    <definedName name="_xlnm.Print_Area" localSheetId="87">'(Property 87)'!$A:$D</definedName>
    <definedName name="_xlnm.Print_Area" localSheetId="88">'(Property 88)'!$A:$D</definedName>
    <definedName name="_xlnm.Print_Area" localSheetId="89">'(Property 89)'!$A:$D</definedName>
    <definedName name="_xlnm.Print_Area" localSheetId="9">'(Property 9)'!$A:$D</definedName>
    <definedName name="_xlnm.Print_Area" localSheetId="90">'(Property 90)'!$A:$D</definedName>
    <definedName name="_xlnm.Print_Area" localSheetId="91">'(Property 91)'!$A:$D</definedName>
    <definedName name="_xlnm.Print_Area" localSheetId="92">'(Property 92)'!$A:$D</definedName>
    <definedName name="_xlnm.Print_Area" localSheetId="93">'(Property 93)'!$A:$D</definedName>
    <definedName name="_xlnm.Print_Area" localSheetId="94">'(Property 94)'!$A:$D</definedName>
    <definedName name="_xlnm.Print_Area" localSheetId="95">'(Property 95)'!$A:$D</definedName>
    <definedName name="_xlnm.Print_Area" localSheetId="96">'(Property 96)'!$A:$D</definedName>
    <definedName name="_xlnm.Print_Area" localSheetId="97">'(Property 97)'!$A:$D</definedName>
    <definedName name="_xlnm.Print_Area" localSheetId="98">'(Property 98)'!$A:$D</definedName>
    <definedName name="_xlnm.Print_Area" localSheetId="99">'(Property 99)'!$A:$D</definedName>
    <definedName name="_xlnm.Print_Area" localSheetId="0">'Summary Sheet'!$A$1:$N$132</definedName>
  </definedNames>
  <calcPr calcId="14562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2" i="1" l="1"/>
  <c r="M131" i="1"/>
  <c r="M130" i="1"/>
  <c r="M129" i="1"/>
  <c r="M128" i="1"/>
  <c r="M127" i="1"/>
  <c r="M126" i="1"/>
  <c r="M125" i="1"/>
  <c r="M124" i="1"/>
  <c r="M123" i="1"/>
  <c r="L132" i="1"/>
  <c r="L131" i="1"/>
  <c r="L130" i="1"/>
  <c r="L129" i="1"/>
  <c r="L128" i="1"/>
  <c r="L127" i="1"/>
  <c r="L126" i="1"/>
  <c r="L125" i="1"/>
  <c r="L124" i="1"/>
  <c r="N124" i="1"/>
  <c r="L123" i="1"/>
  <c r="K132" i="1"/>
  <c r="K131" i="1"/>
  <c r="K130" i="1"/>
  <c r="K129" i="1"/>
  <c r="K128" i="1"/>
  <c r="K127" i="1"/>
  <c r="K126" i="1"/>
  <c r="K125" i="1"/>
  <c r="K124" i="1"/>
  <c r="K123" i="1"/>
  <c r="J132" i="1"/>
  <c r="J131" i="1"/>
  <c r="J130" i="1"/>
  <c r="J129" i="1"/>
  <c r="J128" i="1"/>
  <c r="J127" i="1"/>
  <c r="J126" i="1"/>
  <c r="J125" i="1"/>
  <c r="J124" i="1"/>
  <c r="J123" i="1"/>
  <c r="I132" i="1"/>
  <c r="I131" i="1"/>
  <c r="I130" i="1"/>
  <c r="I129" i="1"/>
  <c r="I128" i="1"/>
  <c r="I127" i="1"/>
  <c r="I126" i="1"/>
  <c r="I125" i="1"/>
  <c r="I124" i="1"/>
  <c r="I123" i="1"/>
  <c r="H132" i="1"/>
  <c r="H131" i="1"/>
  <c r="H130" i="1"/>
  <c r="H129" i="1"/>
  <c r="H128" i="1"/>
  <c r="H127" i="1"/>
  <c r="H126" i="1"/>
  <c r="H125" i="1"/>
  <c r="H124" i="1"/>
  <c r="H123" i="1"/>
  <c r="G132" i="1"/>
  <c r="G131" i="1"/>
  <c r="G130" i="1"/>
  <c r="G129" i="1"/>
  <c r="G128" i="1"/>
  <c r="G127" i="1"/>
  <c r="G126" i="1"/>
  <c r="G125" i="1"/>
  <c r="G124" i="1"/>
  <c r="G123" i="1"/>
  <c r="F132" i="1"/>
  <c r="F131" i="1"/>
  <c r="F130" i="1"/>
  <c r="F129" i="1"/>
  <c r="F128" i="1"/>
  <c r="F127" i="1"/>
  <c r="F126" i="1"/>
  <c r="F125" i="1"/>
  <c r="F124" i="1"/>
  <c r="F123" i="1"/>
  <c r="B5" i="119"/>
  <c r="B4" i="119"/>
  <c r="B5" i="121"/>
  <c r="B4" i="121"/>
  <c r="B5" i="120"/>
  <c r="B4" i="120"/>
  <c r="B5" i="118"/>
  <c r="B4" i="118"/>
  <c r="B5" i="117"/>
  <c r="B4" i="117"/>
  <c r="B5" i="116"/>
  <c r="B4" i="116"/>
  <c r="B5" i="115"/>
  <c r="B4" i="115"/>
  <c r="B5" i="114"/>
  <c r="B4" i="114"/>
  <c r="B5" i="113"/>
  <c r="B4" i="113"/>
  <c r="B4" i="112"/>
  <c r="B5" i="112"/>
  <c r="D160" i="121"/>
  <c r="D141" i="121"/>
  <c r="D9" i="121"/>
  <c r="D122" i="121"/>
  <c r="D103" i="121"/>
  <c r="D84" i="121"/>
  <c r="D65" i="121"/>
  <c r="D46" i="121"/>
  <c r="D27" i="121"/>
  <c r="D160" i="120"/>
  <c r="D141" i="120"/>
  <c r="D9" i="120"/>
  <c r="D122" i="120"/>
  <c r="D103" i="120"/>
  <c r="D84" i="120"/>
  <c r="D65" i="120"/>
  <c r="D46" i="120"/>
  <c r="D27" i="120"/>
  <c r="D160" i="119"/>
  <c r="D141" i="119"/>
  <c r="D9" i="119"/>
  <c r="D122" i="119"/>
  <c r="D103" i="119"/>
  <c r="D84" i="119"/>
  <c r="D65" i="119"/>
  <c r="D46" i="119"/>
  <c r="D27" i="119"/>
  <c r="D160" i="118"/>
  <c r="D141" i="118"/>
  <c r="D9" i="118"/>
  <c r="D122" i="118"/>
  <c r="D103" i="118"/>
  <c r="D84" i="118"/>
  <c r="D65" i="118"/>
  <c r="D46" i="118"/>
  <c r="D27" i="118"/>
  <c r="D160" i="117"/>
  <c r="D141" i="117"/>
  <c r="D9" i="117"/>
  <c r="D122" i="117"/>
  <c r="D103" i="117"/>
  <c r="D84" i="117"/>
  <c r="D65" i="117"/>
  <c r="D46" i="117"/>
  <c r="D27" i="117"/>
  <c r="D160" i="116"/>
  <c r="D141" i="116"/>
  <c r="D9" i="116"/>
  <c r="D122" i="116"/>
  <c r="D103" i="116"/>
  <c r="D84" i="116"/>
  <c r="D65" i="116"/>
  <c r="D46" i="116"/>
  <c r="D27" i="116"/>
  <c r="D160" i="115"/>
  <c r="D141" i="115"/>
  <c r="D122" i="115"/>
  <c r="D103" i="115"/>
  <c r="D84" i="115"/>
  <c r="D65" i="115"/>
  <c r="D46" i="115"/>
  <c r="D27" i="115"/>
  <c r="D9" i="115"/>
  <c r="D160" i="114"/>
  <c r="D141" i="114"/>
  <c r="D122" i="114"/>
  <c r="D103" i="114"/>
  <c r="D84" i="114"/>
  <c r="D65" i="114"/>
  <c r="D46" i="114"/>
  <c r="D27" i="114"/>
  <c r="D9" i="114"/>
  <c r="D160" i="113"/>
  <c r="D141" i="113"/>
  <c r="D9" i="113"/>
  <c r="D122" i="113"/>
  <c r="D103" i="113"/>
  <c r="D84" i="113"/>
  <c r="D65" i="113"/>
  <c r="D46" i="113"/>
  <c r="D27" i="113"/>
  <c r="D160" i="112"/>
  <c r="D141" i="112"/>
  <c r="D9" i="112"/>
  <c r="D122" i="112"/>
  <c r="D103" i="112"/>
  <c r="D84" i="112"/>
  <c r="D65" i="112"/>
  <c r="D46" i="112"/>
  <c r="D27" i="112"/>
  <c r="M122" i="1"/>
  <c r="M121" i="1"/>
  <c r="M120" i="1"/>
  <c r="M119" i="1"/>
  <c r="M118" i="1"/>
  <c r="M117" i="1"/>
  <c r="M116" i="1"/>
  <c r="M115" i="1"/>
  <c r="M114" i="1"/>
  <c r="M113" i="1"/>
  <c r="L122" i="1"/>
  <c r="L121" i="1"/>
  <c r="L120" i="1"/>
  <c r="N120" i="1"/>
  <c r="L119" i="1"/>
  <c r="L118" i="1"/>
  <c r="L117" i="1"/>
  <c r="L116" i="1"/>
  <c r="N116" i="1"/>
  <c r="L115" i="1"/>
  <c r="L114" i="1"/>
  <c r="L113" i="1"/>
  <c r="N113" i="1"/>
  <c r="K122" i="1"/>
  <c r="K121" i="1"/>
  <c r="K120" i="1"/>
  <c r="K119" i="1"/>
  <c r="K118" i="1"/>
  <c r="K117" i="1"/>
  <c r="K116" i="1"/>
  <c r="K115" i="1"/>
  <c r="K114" i="1"/>
  <c r="K113" i="1"/>
  <c r="J122" i="1"/>
  <c r="J121" i="1"/>
  <c r="J120" i="1"/>
  <c r="J119" i="1"/>
  <c r="J118" i="1"/>
  <c r="J117" i="1"/>
  <c r="J116" i="1"/>
  <c r="J115" i="1"/>
  <c r="J114" i="1"/>
  <c r="J113" i="1"/>
  <c r="I122" i="1"/>
  <c r="I121" i="1"/>
  <c r="I120" i="1"/>
  <c r="I119" i="1"/>
  <c r="I118" i="1"/>
  <c r="I117" i="1"/>
  <c r="I116" i="1"/>
  <c r="I115" i="1"/>
  <c r="I114" i="1"/>
  <c r="I113" i="1"/>
  <c r="H122" i="1"/>
  <c r="H121" i="1"/>
  <c r="H120" i="1"/>
  <c r="H119" i="1"/>
  <c r="H118" i="1"/>
  <c r="H117" i="1"/>
  <c r="H116" i="1"/>
  <c r="H115" i="1"/>
  <c r="H114" i="1"/>
  <c r="H113" i="1"/>
  <c r="G122" i="1"/>
  <c r="G121" i="1"/>
  <c r="G120" i="1"/>
  <c r="G119" i="1"/>
  <c r="G118" i="1"/>
  <c r="G117" i="1"/>
  <c r="G116" i="1"/>
  <c r="G115" i="1"/>
  <c r="G114" i="1"/>
  <c r="G113" i="1"/>
  <c r="F122" i="1"/>
  <c r="F121" i="1"/>
  <c r="F120" i="1"/>
  <c r="F119" i="1"/>
  <c r="F118" i="1"/>
  <c r="F117" i="1"/>
  <c r="F116" i="1"/>
  <c r="F115" i="1"/>
  <c r="F114" i="1"/>
  <c r="F113" i="1"/>
  <c r="B5" i="111"/>
  <c r="B4" i="111"/>
  <c r="B5" i="109"/>
  <c r="B4" i="109"/>
  <c r="B5" i="110"/>
  <c r="B4" i="110"/>
  <c r="B5" i="108"/>
  <c r="B4" i="108"/>
  <c r="B5" i="107"/>
  <c r="B4" i="107"/>
  <c r="B5" i="106"/>
  <c r="B4" i="106"/>
  <c r="B5" i="105"/>
  <c r="B4" i="105"/>
  <c r="B5" i="104"/>
  <c r="B4" i="104"/>
  <c r="B5" i="103"/>
  <c r="B4" i="103"/>
  <c r="B4" i="102"/>
  <c r="B5" i="102"/>
  <c r="D160" i="111"/>
  <c r="D141" i="111"/>
  <c r="D122" i="111"/>
  <c r="D103" i="111"/>
  <c r="D84" i="111"/>
  <c r="D65" i="111"/>
  <c r="D46" i="111"/>
  <c r="D27" i="111"/>
  <c r="D9" i="111"/>
  <c r="D160" i="110"/>
  <c r="D141" i="110"/>
  <c r="D9" i="110"/>
  <c r="D122" i="110"/>
  <c r="D103" i="110"/>
  <c r="D84" i="110"/>
  <c r="D65" i="110"/>
  <c r="D46" i="110"/>
  <c r="D27" i="110"/>
  <c r="D160" i="109"/>
  <c r="D141" i="109"/>
  <c r="D9" i="109"/>
  <c r="D122" i="109"/>
  <c r="D103" i="109"/>
  <c r="D84" i="109"/>
  <c r="D65" i="109"/>
  <c r="D46" i="109"/>
  <c r="D27" i="109"/>
  <c r="D160" i="108"/>
  <c r="D141" i="108"/>
  <c r="D9" i="108"/>
  <c r="D122" i="108"/>
  <c r="D103" i="108"/>
  <c r="D84" i="108"/>
  <c r="D65" i="108"/>
  <c r="D46" i="108"/>
  <c r="D27" i="108"/>
  <c r="D160" i="107"/>
  <c r="D141" i="107"/>
  <c r="D122" i="107"/>
  <c r="D103" i="107"/>
  <c r="D84" i="107"/>
  <c r="D65" i="107"/>
  <c r="D46" i="107"/>
  <c r="D27" i="107"/>
  <c r="D9" i="107"/>
  <c r="D160" i="106"/>
  <c r="D141" i="106"/>
  <c r="D9" i="106"/>
  <c r="D122" i="106"/>
  <c r="D103" i="106"/>
  <c r="D84" i="106"/>
  <c r="D65" i="106"/>
  <c r="D46" i="106"/>
  <c r="D27" i="106"/>
  <c r="D160" i="105"/>
  <c r="D141" i="105"/>
  <c r="D9" i="105"/>
  <c r="D122" i="105"/>
  <c r="D103" i="105"/>
  <c r="D84" i="105"/>
  <c r="D65" i="105"/>
  <c r="D46" i="105"/>
  <c r="D27" i="105"/>
  <c r="D160" i="104"/>
  <c r="D141" i="104"/>
  <c r="D9" i="104"/>
  <c r="D122" i="104"/>
  <c r="D103" i="104"/>
  <c r="D84" i="104"/>
  <c r="D65" i="104"/>
  <c r="D46" i="104"/>
  <c r="D27" i="104"/>
  <c r="D160" i="103"/>
  <c r="D141" i="103"/>
  <c r="D122" i="103"/>
  <c r="D103" i="103"/>
  <c r="D84" i="103"/>
  <c r="D65" i="103"/>
  <c r="D46" i="103"/>
  <c r="D27" i="103"/>
  <c r="D9" i="103"/>
  <c r="D160" i="102"/>
  <c r="D141" i="102"/>
  <c r="D9" i="102"/>
  <c r="D122" i="102"/>
  <c r="D103" i="102"/>
  <c r="D84" i="102"/>
  <c r="D65" i="102"/>
  <c r="D46" i="102"/>
  <c r="D27" i="102"/>
  <c r="M112" i="1"/>
  <c r="M111" i="1"/>
  <c r="M110" i="1"/>
  <c r="M109" i="1"/>
  <c r="M108" i="1"/>
  <c r="M107" i="1"/>
  <c r="M106" i="1"/>
  <c r="M105" i="1"/>
  <c r="M104" i="1"/>
  <c r="M103" i="1"/>
  <c r="L112" i="1"/>
  <c r="L111" i="1"/>
  <c r="L110" i="1"/>
  <c r="L109" i="1"/>
  <c r="L108" i="1"/>
  <c r="L107" i="1"/>
  <c r="L106" i="1"/>
  <c r="L105" i="1"/>
  <c r="L104" i="1"/>
  <c r="L103" i="1"/>
  <c r="K112" i="1"/>
  <c r="K111" i="1"/>
  <c r="K110" i="1"/>
  <c r="K109" i="1"/>
  <c r="K108" i="1"/>
  <c r="K107" i="1"/>
  <c r="K106" i="1"/>
  <c r="K105" i="1"/>
  <c r="K104" i="1"/>
  <c r="K103" i="1"/>
  <c r="J112" i="1"/>
  <c r="J111" i="1"/>
  <c r="J110" i="1"/>
  <c r="J109" i="1"/>
  <c r="J108" i="1"/>
  <c r="J107" i="1"/>
  <c r="J106" i="1"/>
  <c r="J105" i="1"/>
  <c r="J104" i="1"/>
  <c r="J103" i="1"/>
  <c r="I112" i="1"/>
  <c r="I111" i="1"/>
  <c r="I110" i="1"/>
  <c r="I109" i="1"/>
  <c r="I108" i="1"/>
  <c r="I107" i="1"/>
  <c r="I106" i="1"/>
  <c r="I105" i="1"/>
  <c r="I104" i="1"/>
  <c r="I103" i="1"/>
  <c r="H112" i="1"/>
  <c r="H111" i="1"/>
  <c r="H110" i="1"/>
  <c r="H109" i="1"/>
  <c r="H108" i="1"/>
  <c r="H107" i="1"/>
  <c r="H106" i="1"/>
  <c r="H105" i="1"/>
  <c r="H104" i="1"/>
  <c r="H103" i="1"/>
  <c r="G112" i="1"/>
  <c r="G111" i="1"/>
  <c r="G110" i="1"/>
  <c r="G109" i="1"/>
  <c r="G108" i="1"/>
  <c r="G107" i="1"/>
  <c r="G106" i="1"/>
  <c r="G105" i="1"/>
  <c r="G104" i="1"/>
  <c r="G103" i="1"/>
  <c r="F112" i="1"/>
  <c r="F111" i="1"/>
  <c r="F110" i="1"/>
  <c r="F109" i="1"/>
  <c r="F108" i="1"/>
  <c r="F107" i="1"/>
  <c r="F106" i="1"/>
  <c r="F105" i="1"/>
  <c r="F104" i="1"/>
  <c r="F103" i="1"/>
  <c r="B5" i="101"/>
  <c r="B4" i="101"/>
  <c r="B5" i="100"/>
  <c r="B4" i="100"/>
  <c r="B5" i="99"/>
  <c r="B4" i="99"/>
  <c r="B5" i="98"/>
  <c r="B4" i="98"/>
  <c r="B5" i="97"/>
  <c r="B4" i="97"/>
  <c r="B5" i="96"/>
  <c r="B4" i="96"/>
  <c r="B4" i="95"/>
  <c r="B5" i="95"/>
  <c r="B5" i="94"/>
  <c r="B4" i="94"/>
  <c r="B5" i="93"/>
  <c r="B4" i="93"/>
  <c r="B5" i="92"/>
  <c r="B4" i="92"/>
  <c r="D160" i="101"/>
  <c r="D141" i="101"/>
  <c r="D9" i="101"/>
  <c r="D122" i="101"/>
  <c r="D103" i="101"/>
  <c r="D84" i="101"/>
  <c r="D65" i="101"/>
  <c r="D46" i="101"/>
  <c r="D27" i="101"/>
  <c r="D160" i="100"/>
  <c r="D141" i="100"/>
  <c r="D122" i="100"/>
  <c r="D103" i="100"/>
  <c r="D84" i="100"/>
  <c r="D65" i="100"/>
  <c r="D46" i="100"/>
  <c r="D27" i="100"/>
  <c r="D9" i="100"/>
  <c r="D160" i="99"/>
  <c r="D141" i="99"/>
  <c r="D122" i="99"/>
  <c r="D103" i="99"/>
  <c r="D84" i="99"/>
  <c r="D65" i="99"/>
  <c r="D46" i="99"/>
  <c r="D27" i="99"/>
  <c r="D9" i="99"/>
  <c r="D160" i="98"/>
  <c r="D141" i="98"/>
  <c r="D9" i="98"/>
  <c r="D122" i="98"/>
  <c r="D103" i="98"/>
  <c r="D84" i="98"/>
  <c r="D65" i="98"/>
  <c r="D46" i="98"/>
  <c r="D27" i="98"/>
  <c r="D160" i="97"/>
  <c r="D141" i="97"/>
  <c r="D9" i="97"/>
  <c r="D122" i="97"/>
  <c r="D103" i="97"/>
  <c r="D84" i="97"/>
  <c r="D65" i="97"/>
  <c r="D46" i="97"/>
  <c r="D27" i="97"/>
  <c r="D160" i="96"/>
  <c r="D141" i="96"/>
  <c r="D9" i="96"/>
  <c r="D122" i="96"/>
  <c r="D103" i="96"/>
  <c r="D84" i="96"/>
  <c r="D65" i="96"/>
  <c r="D46" i="96"/>
  <c r="D27" i="96"/>
  <c r="D160" i="95"/>
  <c r="D141" i="95"/>
  <c r="D122" i="95"/>
  <c r="D103" i="95"/>
  <c r="D84" i="95"/>
  <c r="D65" i="95"/>
  <c r="D46" i="95"/>
  <c r="D27" i="95"/>
  <c r="D9" i="95"/>
  <c r="D160" i="94"/>
  <c r="D141" i="94"/>
  <c r="D9" i="94"/>
  <c r="D122" i="94"/>
  <c r="D103" i="94"/>
  <c r="D84" i="94"/>
  <c r="D65" i="94"/>
  <c r="D46" i="94"/>
  <c r="D27" i="94"/>
  <c r="D160" i="93"/>
  <c r="D141" i="93"/>
  <c r="D9" i="93"/>
  <c r="D122" i="93"/>
  <c r="D103" i="93"/>
  <c r="D84" i="93"/>
  <c r="D65" i="93"/>
  <c r="D46" i="93"/>
  <c r="D27" i="93"/>
  <c r="D160" i="92"/>
  <c r="D141" i="92"/>
  <c r="D9" i="92"/>
  <c r="D122" i="92"/>
  <c r="D103" i="92"/>
  <c r="D84" i="92"/>
  <c r="D65" i="92"/>
  <c r="D46" i="92"/>
  <c r="D27" i="92"/>
  <c r="M102" i="1"/>
  <c r="M101" i="1"/>
  <c r="M100" i="1"/>
  <c r="M99" i="1"/>
  <c r="M98" i="1"/>
  <c r="M97" i="1"/>
  <c r="M96" i="1"/>
  <c r="M95" i="1"/>
  <c r="M94" i="1"/>
  <c r="M93" i="1"/>
  <c r="L102" i="1"/>
  <c r="L101" i="1"/>
  <c r="L100" i="1"/>
  <c r="L99" i="1"/>
  <c r="L98" i="1"/>
  <c r="L97" i="1"/>
  <c r="L96" i="1"/>
  <c r="L95" i="1"/>
  <c r="L94" i="1"/>
  <c r="L93" i="1"/>
  <c r="K102" i="1"/>
  <c r="K101" i="1"/>
  <c r="K100" i="1"/>
  <c r="K99" i="1"/>
  <c r="K98" i="1"/>
  <c r="K97" i="1"/>
  <c r="K96" i="1"/>
  <c r="K95" i="1"/>
  <c r="K94" i="1"/>
  <c r="K93" i="1"/>
  <c r="J102" i="1"/>
  <c r="J101" i="1"/>
  <c r="J100" i="1"/>
  <c r="J99" i="1"/>
  <c r="J98" i="1"/>
  <c r="J97" i="1"/>
  <c r="J96" i="1"/>
  <c r="J95" i="1"/>
  <c r="J94" i="1"/>
  <c r="J93" i="1"/>
  <c r="I102" i="1"/>
  <c r="I101" i="1"/>
  <c r="I100" i="1"/>
  <c r="I99" i="1"/>
  <c r="I98" i="1"/>
  <c r="I97" i="1"/>
  <c r="I96" i="1"/>
  <c r="I95" i="1"/>
  <c r="I94" i="1"/>
  <c r="I93" i="1"/>
  <c r="H102" i="1"/>
  <c r="H101" i="1"/>
  <c r="H100" i="1"/>
  <c r="H99" i="1"/>
  <c r="H98" i="1"/>
  <c r="H97" i="1"/>
  <c r="H96" i="1"/>
  <c r="H95" i="1"/>
  <c r="H94" i="1"/>
  <c r="H93" i="1"/>
  <c r="G102" i="1"/>
  <c r="G101" i="1"/>
  <c r="G100" i="1"/>
  <c r="G99" i="1"/>
  <c r="G98" i="1"/>
  <c r="G97" i="1"/>
  <c r="G96" i="1"/>
  <c r="G95" i="1"/>
  <c r="G94" i="1"/>
  <c r="G93" i="1"/>
  <c r="F102" i="1"/>
  <c r="F101" i="1"/>
  <c r="F100" i="1"/>
  <c r="F99" i="1"/>
  <c r="F98" i="1"/>
  <c r="F97" i="1"/>
  <c r="F96" i="1"/>
  <c r="F95" i="1"/>
  <c r="F94" i="1"/>
  <c r="F93" i="1"/>
  <c r="B5" i="91"/>
  <c r="B4" i="91"/>
  <c r="B5" i="90"/>
  <c r="B4" i="90"/>
  <c r="B5" i="89"/>
  <c r="B4" i="89"/>
  <c r="B5" i="88"/>
  <c r="B4" i="88"/>
  <c r="B5" i="87"/>
  <c r="B4" i="87"/>
  <c r="B5" i="86"/>
  <c r="B4" i="86"/>
  <c r="B5" i="85"/>
  <c r="B4" i="85"/>
  <c r="B5" i="84"/>
  <c r="B4" i="84"/>
  <c r="B4" i="83"/>
  <c r="B5" i="83"/>
  <c r="B5" i="82"/>
  <c r="B4" i="82"/>
  <c r="D160" i="91"/>
  <c r="D141" i="91"/>
  <c r="D9" i="91"/>
  <c r="D122" i="91"/>
  <c r="D103" i="91"/>
  <c r="D84" i="91"/>
  <c r="D65" i="91"/>
  <c r="D46" i="91"/>
  <c r="D27" i="91"/>
  <c r="D160" i="90"/>
  <c r="D141" i="90"/>
  <c r="D9" i="90"/>
  <c r="D122" i="90"/>
  <c r="D103" i="90"/>
  <c r="D84" i="90"/>
  <c r="D65" i="90"/>
  <c r="D46" i="90"/>
  <c r="D27" i="90"/>
  <c r="D160" i="89"/>
  <c r="D141" i="89"/>
  <c r="D9" i="89"/>
  <c r="D122" i="89"/>
  <c r="D103" i="89"/>
  <c r="D84" i="89"/>
  <c r="D65" i="89"/>
  <c r="D46" i="89"/>
  <c r="D27" i="89"/>
  <c r="D160" i="88"/>
  <c r="D141" i="88"/>
  <c r="D9" i="88"/>
  <c r="D122" i="88"/>
  <c r="D103" i="88"/>
  <c r="D84" i="88"/>
  <c r="D65" i="88"/>
  <c r="D46" i="88"/>
  <c r="D27" i="88"/>
  <c r="D160" i="87"/>
  <c r="D141" i="87"/>
  <c r="D9" i="87"/>
  <c r="D122" i="87"/>
  <c r="D103" i="87"/>
  <c r="D84" i="87"/>
  <c r="D65" i="87"/>
  <c r="D46" i="87"/>
  <c r="D27" i="87"/>
  <c r="D160" i="86"/>
  <c r="D141" i="86"/>
  <c r="D9" i="86"/>
  <c r="D122" i="86"/>
  <c r="D103" i="86"/>
  <c r="D84" i="86"/>
  <c r="D65" i="86"/>
  <c r="D46" i="86"/>
  <c r="D27" i="86"/>
  <c r="D160" i="85"/>
  <c r="D141" i="85"/>
  <c r="D9" i="85"/>
  <c r="D122" i="85"/>
  <c r="D103" i="85"/>
  <c r="D84" i="85"/>
  <c r="D65" i="85"/>
  <c r="D46" i="85"/>
  <c r="D27" i="85"/>
  <c r="D160" i="84"/>
  <c r="D141" i="84"/>
  <c r="D9" i="84"/>
  <c r="D122" i="84"/>
  <c r="D103" i="84"/>
  <c r="D84" i="84"/>
  <c r="D65" i="84"/>
  <c r="D46" i="84"/>
  <c r="D27" i="84"/>
  <c r="D160" i="83"/>
  <c r="D141" i="83"/>
  <c r="D9" i="83"/>
  <c r="D122" i="83"/>
  <c r="D103" i="83"/>
  <c r="D84" i="83"/>
  <c r="D65" i="83"/>
  <c r="D46" i="83"/>
  <c r="D27" i="83"/>
  <c r="D160" i="82"/>
  <c r="D141" i="82"/>
  <c r="D9" i="82"/>
  <c r="D122" i="82"/>
  <c r="D103" i="82"/>
  <c r="D84" i="82"/>
  <c r="D65" i="82"/>
  <c r="D46" i="82"/>
  <c r="D27" i="82"/>
  <c r="M92" i="1"/>
  <c r="M91" i="1"/>
  <c r="M90" i="1"/>
  <c r="M89" i="1"/>
  <c r="M88" i="1"/>
  <c r="M87" i="1"/>
  <c r="M86" i="1"/>
  <c r="M85" i="1"/>
  <c r="M84" i="1"/>
  <c r="M83" i="1"/>
  <c r="L92" i="1"/>
  <c r="L91" i="1"/>
  <c r="L90" i="1"/>
  <c r="N90" i="1"/>
  <c r="L89" i="1"/>
  <c r="L88" i="1"/>
  <c r="L87" i="1"/>
  <c r="L86" i="1"/>
  <c r="L85" i="1"/>
  <c r="N85" i="1"/>
  <c r="L84" i="1"/>
  <c r="L83" i="1"/>
  <c r="K92" i="1"/>
  <c r="K91" i="1"/>
  <c r="K90" i="1"/>
  <c r="K89" i="1"/>
  <c r="K88" i="1"/>
  <c r="K87" i="1"/>
  <c r="K86" i="1"/>
  <c r="K85" i="1"/>
  <c r="K84" i="1"/>
  <c r="K83" i="1"/>
  <c r="J92" i="1"/>
  <c r="J91" i="1"/>
  <c r="J90" i="1"/>
  <c r="J89" i="1"/>
  <c r="J88" i="1"/>
  <c r="J87" i="1"/>
  <c r="J86" i="1"/>
  <c r="J85" i="1"/>
  <c r="J84" i="1"/>
  <c r="J83" i="1"/>
  <c r="I92" i="1"/>
  <c r="I91" i="1"/>
  <c r="I90" i="1"/>
  <c r="I89" i="1"/>
  <c r="I88" i="1"/>
  <c r="I87" i="1"/>
  <c r="I86" i="1"/>
  <c r="I85" i="1"/>
  <c r="I84" i="1"/>
  <c r="I83" i="1"/>
  <c r="H92" i="1"/>
  <c r="H91" i="1"/>
  <c r="H90" i="1"/>
  <c r="H89" i="1"/>
  <c r="H88" i="1"/>
  <c r="H87" i="1"/>
  <c r="H86" i="1"/>
  <c r="H85" i="1"/>
  <c r="H84" i="1"/>
  <c r="H83" i="1"/>
  <c r="G92" i="1"/>
  <c r="G91" i="1"/>
  <c r="G90" i="1"/>
  <c r="G89" i="1"/>
  <c r="G88" i="1"/>
  <c r="G87" i="1"/>
  <c r="G86" i="1"/>
  <c r="G85" i="1"/>
  <c r="G84" i="1"/>
  <c r="G83" i="1"/>
  <c r="F92" i="1"/>
  <c r="F91" i="1"/>
  <c r="F90" i="1"/>
  <c r="F89" i="1"/>
  <c r="F88" i="1"/>
  <c r="F87" i="1"/>
  <c r="F86" i="1"/>
  <c r="F85" i="1"/>
  <c r="F84" i="1"/>
  <c r="F83" i="1"/>
  <c r="B5" i="81"/>
  <c r="B4" i="81"/>
  <c r="B5" i="79"/>
  <c r="B4" i="79"/>
  <c r="B5" i="80"/>
  <c r="B4" i="80"/>
  <c r="B5" i="78"/>
  <c r="B4" i="78"/>
  <c r="B5" i="77"/>
  <c r="B4" i="77"/>
  <c r="B5" i="76"/>
  <c r="B4" i="76"/>
  <c r="B5" i="75"/>
  <c r="B4" i="75"/>
  <c r="B5" i="74"/>
  <c r="B4" i="74"/>
  <c r="B5" i="73"/>
  <c r="B4" i="73"/>
  <c r="B5" i="72"/>
  <c r="B4" i="72"/>
  <c r="D160" i="81"/>
  <c r="D141" i="81"/>
  <c r="D9" i="81"/>
  <c r="D122" i="81"/>
  <c r="D103" i="81"/>
  <c r="D84" i="81"/>
  <c r="D65" i="81"/>
  <c r="D46" i="81"/>
  <c r="D27" i="81"/>
  <c r="D160" i="80"/>
  <c r="D141" i="80"/>
  <c r="D9" i="80"/>
  <c r="D122" i="80"/>
  <c r="D103" i="80"/>
  <c r="D84" i="80"/>
  <c r="D65" i="80"/>
  <c r="D46" i="80"/>
  <c r="D27" i="80"/>
  <c r="D160" i="79"/>
  <c r="D141" i="79"/>
  <c r="D9" i="79"/>
  <c r="D122" i="79"/>
  <c r="D103" i="79"/>
  <c r="D84" i="79"/>
  <c r="D65" i="79"/>
  <c r="D46" i="79"/>
  <c r="D27" i="79"/>
  <c r="D160" i="78"/>
  <c r="D141" i="78"/>
  <c r="D9" i="78"/>
  <c r="D122" i="78"/>
  <c r="D103" i="78"/>
  <c r="D84" i="78"/>
  <c r="D65" i="78"/>
  <c r="D46" i="78"/>
  <c r="D27" i="78"/>
  <c r="D160" i="77"/>
  <c r="D141" i="77"/>
  <c r="D9" i="77"/>
  <c r="D122" i="77"/>
  <c r="D103" i="77"/>
  <c r="D84" i="77"/>
  <c r="D65" i="77"/>
  <c r="D46" i="77"/>
  <c r="D27" i="77"/>
  <c r="D160" i="76"/>
  <c r="D141" i="76"/>
  <c r="D9" i="76"/>
  <c r="D122" i="76"/>
  <c r="D103" i="76"/>
  <c r="D84" i="76"/>
  <c r="D65" i="76"/>
  <c r="D46" i="76"/>
  <c r="D27" i="76"/>
  <c r="D160" i="75"/>
  <c r="D141" i="75"/>
  <c r="D9" i="75"/>
  <c r="D122" i="75"/>
  <c r="D103" i="75"/>
  <c r="D84" i="75"/>
  <c r="D65" i="75"/>
  <c r="D46" i="75"/>
  <c r="D27" i="75"/>
  <c r="D160" i="74"/>
  <c r="D141" i="74"/>
  <c r="D9" i="74"/>
  <c r="D122" i="74"/>
  <c r="D103" i="74"/>
  <c r="D84" i="74"/>
  <c r="D65" i="74"/>
  <c r="D46" i="74"/>
  <c r="D27" i="74"/>
  <c r="D160" i="73"/>
  <c r="D141" i="73"/>
  <c r="D9" i="73"/>
  <c r="D122" i="73"/>
  <c r="D103" i="73"/>
  <c r="D84" i="73"/>
  <c r="D65" i="73"/>
  <c r="D46" i="73"/>
  <c r="D27" i="73"/>
  <c r="D160" i="72"/>
  <c r="D141" i="72"/>
  <c r="D9" i="72"/>
  <c r="D122" i="72"/>
  <c r="D103" i="72"/>
  <c r="D84" i="72"/>
  <c r="D65" i="72"/>
  <c r="D46" i="72"/>
  <c r="D27" i="72"/>
  <c r="N83" i="1"/>
  <c r="N84" i="1"/>
  <c r="N86" i="1"/>
  <c r="N87" i="1"/>
  <c r="N88" i="1"/>
  <c r="N89" i="1"/>
  <c r="N91" i="1"/>
  <c r="N92" i="1"/>
  <c r="N93" i="1"/>
  <c r="N94" i="1"/>
  <c r="N95" i="1"/>
  <c r="N96" i="1"/>
  <c r="N97" i="1"/>
  <c r="N98" i="1"/>
  <c r="N99" i="1"/>
  <c r="N100" i="1"/>
  <c r="N101" i="1"/>
  <c r="N102" i="1"/>
  <c r="N103" i="1"/>
  <c r="N104" i="1"/>
  <c r="N105" i="1"/>
  <c r="N106" i="1"/>
  <c r="N107" i="1"/>
  <c r="N108" i="1"/>
  <c r="N109" i="1"/>
  <c r="N110" i="1"/>
  <c r="N111" i="1"/>
  <c r="N112" i="1"/>
  <c r="N114" i="1"/>
  <c r="N115" i="1"/>
  <c r="N117" i="1"/>
  <c r="N118" i="1"/>
  <c r="N119" i="1"/>
  <c r="N121" i="1"/>
  <c r="N122" i="1"/>
  <c r="N123" i="1"/>
  <c r="N125" i="1"/>
  <c r="N126" i="1"/>
  <c r="N127" i="1"/>
  <c r="N128" i="1"/>
  <c r="N129" i="1"/>
  <c r="N130" i="1"/>
  <c r="N131" i="1"/>
  <c r="N132" i="1"/>
  <c r="M82" i="1"/>
  <c r="M81" i="1"/>
  <c r="M80" i="1"/>
  <c r="M79" i="1"/>
  <c r="M78" i="1"/>
  <c r="M77" i="1"/>
  <c r="M76" i="1"/>
  <c r="M75" i="1"/>
  <c r="M74" i="1"/>
  <c r="M73" i="1"/>
  <c r="L82" i="1"/>
  <c r="L81" i="1"/>
  <c r="L80" i="1"/>
  <c r="L79" i="1"/>
  <c r="L78" i="1"/>
  <c r="L77" i="1"/>
  <c r="L76" i="1"/>
  <c r="L75" i="1"/>
  <c r="N75" i="1"/>
  <c r="L74" i="1"/>
  <c r="L73" i="1"/>
  <c r="K82" i="1"/>
  <c r="K81" i="1"/>
  <c r="K80" i="1"/>
  <c r="K79" i="1"/>
  <c r="K78" i="1"/>
  <c r="K77" i="1"/>
  <c r="K76" i="1"/>
  <c r="K75" i="1"/>
  <c r="K74" i="1"/>
  <c r="K73" i="1"/>
  <c r="J82" i="1"/>
  <c r="J81" i="1"/>
  <c r="J80" i="1"/>
  <c r="J79" i="1"/>
  <c r="J78" i="1"/>
  <c r="J77" i="1"/>
  <c r="J76" i="1"/>
  <c r="J75" i="1"/>
  <c r="J74" i="1"/>
  <c r="J73" i="1"/>
  <c r="I82" i="1"/>
  <c r="I81" i="1"/>
  <c r="I80" i="1"/>
  <c r="I79" i="1"/>
  <c r="I78" i="1"/>
  <c r="I77" i="1"/>
  <c r="I76" i="1"/>
  <c r="I75" i="1"/>
  <c r="I74" i="1"/>
  <c r="I73" i="1"/>
  <c r="H82" i="1"/>
  <c r="H81" i="1"/>
  <c r="H80" i="1"/>
  <c r="H79" i="1"/>
  <c r="H78" i="1"/>
  <c r="H77" i="1"/>
  <c r="H76" i="1"/>
  <c r="H75" i="1"/>
  <c r="H74" i="1"/>
  <c r="H73" i="1"/>
  <c r="G82" i="1"/>
  <c r="G81" i="1"/>
  <c r="G80" i="1"/>
  <c r="G79" i="1"/>
  <c r="G78" i="1"/>
  <c r="G77" i="1"/>
  <c r="G76" i="1"/>
  <c r="G75" i="1"/>
  <c r="G74" i="1"/>
  <c r="G73" i="1"/>
  <c r="F82" i="1"/>
  <c r="F81" i="1"/>
  <c r="F80" i="1"/>
  <c r="F79" i="1"/>
  <c r="F78" i="1"/>
  <c r="F77" i="1"/>
  <c r="F76" i="1"/>
  <c r="F75" i="1"/>
  <c r="F74" i="1"/>
  <c r="F73" i="1"/>
  <c r="B5" i="71"/>
  <c r="B4" i="71"/>
  <c r="B5" i="70"/>
  <c r="B4" i="70"/>
  <c r="B5" i="69"/>
  <c r="B4" i="69"/>
  <c r="B5" i="68"/>
  <c r="B4" i="68"/>
  <c r="B5" i="67"/>
  <c r="B4" i="67"/>
  <c r="B5" i="66"/>
  <c r="B4" i="66"/>
  <c r="B5" i="65"/>
  <c r="B4" i="65"/>
  <c r="B5" i="64"/>
  <c r="B4" i="64"/>
  <c r="B5" i="63"/>
  <c r="B4" i="63"/>
  <c r="B5" i="62"/>
  <c r="B4" i="62"/>
  <c r="D160" i="71"/>
  <c r="D141" i="71"/>
  <c r="D9" i="71"/>
  <c r="D122" i="71"/>
  <c r="D103" i="71"/>
  <c r="D84" i="71"/>
  <c r="D65" i="71"/>
  <c r="D46" i="71"/>
  <c r="D27" i="71"/>
  <c r="D160" i="70"/>
  <c r="D141" i="70"/>
  <c r="D9" i="70"/>
  <c r="D122" i="70"/>
  <c r="D103" i="70"/>
  <c r="D84" i="70"/>
  <c r="D65" i="70"/>
  <c r="D46" i="70"/>
  <c r="D27" i="70"/>
  <c r="D160" i="69"/>
  <c r="D141" i="69"/>
  <c r="D122" i="69"/>
  <c r="D103" i="69"/>
  <c r="D84" i="69"/>
  <c r="D65" i="69"/>
  <c r="D46" i="69"/>
  <c r="D27" i="69"/>
  <c r="D9" i="69"/>
  <c r="D160" i="68"/>
  <c r="D141" i="68"/>
  <c r="D9" i="68"/>
  <c r="D122" i="68"/>
  <c r="D103" i="68"/>
  <c r="D84" i="68"/>
  <c r="D65" i="68"/>
  <c r="D46" i="68"/>
  <c r="D27" i="68"/>
  <c r="D160" i="67"/>
  <c r="D141" i="67"/>
  <c r="D9" i="67"/>
  <c r="D122" i="67"/>
  <c r="D103" i="67"/>
  <c r="D84" i="67"/>
  <c r="D65" i="67"/>
  <c r="D46" i="67"/>
  <c r="D27" i="67"/>
  <c r="D160" i="66"/>
  <c r="D141" i="66"/>
  <c r="D9" i="66"/>
  <c r="D122" i="66"/>
  <c r="D103" i="66"/>
  <c r="D84" i="66"/>
  <c r="D65" i="66"/>
  <c r="D46" i="66"/>
  <c r="D27" i="66"/>
  <c r="D160" i="65"/>
  <c r="D141" i="65"/>
  <c r="D122" i="65"/>
  <c r="D103" i="65"/>
  <c r="D84" i="65"/>
  <c r="D65" i="65"/>
  <c r="D46" i="65"/>
  <c r="D27" i="65"/>
  <c r="D9" i="65"/>
  <c r="D160" i="64"/>
  <c r="D141" i="64"/>
  <c r="D9" i="64"/>
  <c r="D122" i="64"/>
  <c r="D103" i="64"/>
  <c r="D84" i="64"/>
  <c r="D65" i="64"/>
  <c r="D46" i="64"/>
  <c r="D27" i="64"/>
  <c r="D160" i="63"/>
  <c r="D141" i="63"/>
  <c r="D9" i="63"/>
  <c r="D122" i="63"/>
  <c r="D103" i="63"/>
  <c r="D84" i="63"/>
  <c r="D65" i="63"/>
  <c r="D46" i="63"/>
  <c r="D27" i="63"/>
  <c r="D160" i="62"/>
  <c r="D141" i="62"/>
  <c r="D9" i="62"/>
  <c r="D122" i="62"/>
  <c r="D103" i="62"/>
  <c r="D84" i="62"/>
  <c r="D65" i="62"/>
  <c r="D46" i="62"/>
  <c r="D27" i="62"/>
  <c r="M72" i="1"/>
  <c r="M71" i="1"/>
  <c r="M70" i="1"/>
  <c r="M69" i="1"/>
  <c r="M68" i="1"/>
  <c r="M67" i="1"/>
  <c r="M66" i="1"/>
  <c r="M65" i="1"/>
  <c r="N65" i="1"/>
  <c r="M64" i="1"/>
  <c r="M63" i="1"/>
  <c r="L72" i="1"/>
  <c r="L71" i="1"/>
  <c r="L70" i="1"/>
  <c r="N70" i="1"/>
  <c r="L69" i="1"/>
  <c r="L68" i="1"/>
  <c r="L67" i="1"/>
  <c r="L66" i="1"/>
  <c r="N66" i="1"/>
  <c r="L65" i="1"/>
  <c r="L64" i="1"/>
  <c r="L63" i="1"/>
  <c r="K72" i="1"/>
  <c r="K71" i="1"/>
  <c r="K70" i="1"/>
  <c r="K69" i="1"/>
  <c r="K68" i="1"/>
  <c r="K67" i="1"/>
  <c r="K66" i="1"/>
  <c r="K65" i="1"/>
  <c r="K64" i="1"/>
  <c r="K63" i="1"/>
  <c r="J72" i="1"/>
  <c r="J71" i="1"/>
  <c r="J70" i="1"/>
  <c r="J69" i="1"/>
  <c r="J68" i="1"/>
  <c r="J67" i="1"/>
  <c r="J66" i="1"/>
  <c r="J65" i="1"/>
  <c r="J64" i="1"/>
  <c r="J63" i="1"/>
  <c r="I72" i="1"/>
  <c r="I71" i="1"/>
  <c r="I70" i="1"/>
  <c r="I69" i="1"/>
  <c r="I68" i="1"/>
  <c r="I67" i="1"/>
  <c r="I66" i="1"/>
  <c r="I65" i="1"/>
  <c r="I64" i="1"/>
  <c r="I63" i="1"/>
  <c r="H72" i="1"/>
  <c r="H71" i="1"/>
  <c r="H70" i="1"/>
  <c r="H69" i="1"/>
  <c r="H68" i="1"/>
  <c r="H67" i="1"/>
  <c r="H66" i="1"/>
  <c r="H65" i="1"/>
  <c r="H64" i="1"/>
  <c r="H63" i="1"/>
  <c r="G72" i="1"/>
  <c r="G71" i="1"/>
  <c r="G70" i="1"/>
  <c r="G69" i="1"/>
  <c r="G68" i="1"/>
  <c r="G67" i="1"/>
  <c r="G66" i="1"/>
  <c r="G65" i="1"/>
  <c r="G64" i="1"/>
  <c r="G63" i="1"/>
  <c r="F72" i="1"/>
  <c r="F71" i="1"/>
  <c r="F70" i="1"/>
  <c r="F69" i="1"/>
  <c r="F68" i="1"/>
  <c r="F67" i="1"/>
  <c r="F66" i="1"/>
  <c r="F65" i="1"/>
  <c r="F64" i="1"/>
  <c r="F63" i="1"/>
  <c r="B5" i="61"/>
  <c r="B4" i="61"/>
  <c r="B5" i="60"/>
  <c r="B4" i="60"/>
  <c r="B5" i="59"/>
  <c r="B4" i="59"/>
  <c r="B5" i="58"/>
  <c r="B4" i="58"/>
  <c r="B5" i="57"/>
  <c r="B4" i="57"/>
  <c r="B5" i="56"/>
  <c r="B4" i="56"/>
  <c r="B4" i="55"/>
  <c r="B5" i="55"/>
  <c r="B5" i="54"/>
  <c r="B4" i="54"/>
  <c r="B5" i="53"/>
  <c r="B4" i="53"/>
  <c r="B5" i="52"/>
  <c r="B4" i="52"/>
  <c r="D160" i="61"/>
  <c r="D141" i="61"/>
  <c r="D122" i="61"/>
  <c r="D103" i="61"/>
  <c r="D84" i="61"/>
  <c r="D65" i="61"/>
  <c r="D46" i="61"/>
  <c r="D27" i="61"/>
  <c r="D9" i="61"/>
  <c r="D160" i="60"/>
  <c r="D141" i="60"/>
  <c r="D9" i="60"/>
  <c r="D122" i="60"/>
  <c r="D103" i="60"/>
  <c r="D84" i="60"/>
  <c r="D65" i="60"/>
  <c r="D46" i="60"/>
  <c r="D27" i="60"/>
  <c r="D160" i="59"/>
  <c r="D141" i="59"/>
  <c r="D9" i="59"/>
  <c r="D122" i="59"/>
  <c r="D103" i="59"/>
  <c r="D84" i="59"/>
  <c r="D65" i="59"/>
  <c r="D46" i="59"/>
  <c r="D27" i="59"/>
  <c r="D160" i="58"/>
  <c r="D141" i="58"/>
  <c r="D9" i="58"/>
  <c r="D122" i="58"/>
  <c r="D103" i="58"/>
  <c r="D84" i="58"/>
  <c r="D65" i="58"/>
  <c r="D46" i="58"/>
  <c r="D27" i="58"/>
  <c r="D160" i="57"/>
  <c r="D141" i="57"/>
  <c r="D122" i="57"/>
  <c r="D103" i="57"/>
  <c r="D84" i="57"/>
  <c r="D65" i="57"/>
  <c r="D46" i="57"/>
  <c r="D27" i="57"/>
  <c r="D9" i="57"/>
  <c r="D160" i="56"/>
  <c r="D141" i="56"/>
  <c r="D9" i="56"/>
  <c r="D122" i="56"/>
  <c r="D103" i="56"/>
  <c r="D84" i="56"/>
  <c r="D65" i="56"/>
  <c r="D46" i="56"/>
  <c r="D27" i="56"/>
  <c r="D160" i="55"/>
  <c r="D141" i="55"/>
  <c r="D9" i="55"/>
  <c r="D122" i="55"/>
  <c r="D103" i="55"/>
  <c r="D84" i="55"/>
  <c r="D65" i="55"/>
  <c r="D46" i="55"/>
  <c r="D27" i="55"/>
  <c r="D160" i="54"/>
  <c r="D141" i="54"/>
  <c r="D122" i="54"/>
  <c r="D103" i="54"/>
  <c r="D84" i="54"/>
  <c r="D65" i="54"/>
  <c r="D46" i="54"/>
  <c r="D27" i="54"/>
  <c r="D9" i="54"/>
  <c r="D160" i="53"/>
  <c r="D141" i="53"/>
  <c r="D122" i="53"/>
  <c r="D103" i="53"/>
  <c r="D84" i="53"/>
  <c r="D65" i="53"/>
  <c r="D46" i="53"/>
  <c r="D27" i="53"/>
  <c r="D9" i="53"/>
  <c r="D160" i="52"/>
  <c r="D141" i="52"/>
  <c r="D9" i="52"/>
  <c r="D122" i="52"/>
  <c r="D103" i="52"/>
  <c r="D84" i="52"/>
  <c r="D65" i="52"/>
  <c r="D46" i="52"/>
  <c r="D27" i="52"/>
  <c r="M62" i="1"/>
  <c r="M61" i="1"/>
  <c r="M60" i="1"/>
  <c r="M59" i="1"/>
  <c r="M58" i="1"/>
  <c r="M57" i="1"/>
  <c r="M56" i="1"/>
  <c r="M55" i="1"/>
  <c r="M54" i="1"/>
  <c r="M53" i="1"/>
  <c r="L62" i="1"/>
  <c r="N62" i="1"/>
  <c r="L61" i="1"/>
  <c r="L60" i="1"/>
  <c r="L59" i="1"/>
  <c r="N59" i="1"/>
  <c r="L58" i="1"/>
  <c r="L57" i="1"/>
  <c r="L56" i="1"/>
  <c r="L55" i="1"/>
  <c r="L54" i="1"/>
  <c r="L53" i="1"/>
  <c r="K62" i="1"/>
  <c r="K61" i="1"/>
  <c r="K60" i="1"/>
  <c r="K59" i="1"/>
  <c r="K58" i="1"/>
  <c r="K57" i="1"/>
  <c r="K56" i="1"/>
  <c r="K55" i="1"/>
  <c r="K54" i="1"/>
  <c r="K53" i="1"/>
  <c r="K52" i="1"/>
  <c r="J62" i="1"/>
  <c r="J61" i="1"/>
  <c r="J60" i="1"/>
  <c r="J59" i="1"/>
  <c r="J58" i="1"/>
  <c r="J57" i="1"/>
  <c r="J56" i="1"/>
  <c r="J55" i="1"/>
  <c r="J54" i="1"/>
  <c r="J53" i="1"/>
  <c r="I62" i="1"/>
  <c r="I61" i="1"/>
  <c r="I60" i="1"/>
  <c r="I59" i="1"/>
  <c r="I58" i="1"/>
  <c r="I57" i="1"/>
  <c r="I56" i="1"/>
  <c r="I55" i="1"/>
  <c r="I54" i="1"/>
  <c r="I53" i="1"/>
  <c r="H62" i="1"/>
  <c r="H61" i="1"/>
  <c r="H60" i="1"/>
  <c r="H59" i="1"/>
  <c r="H58" i="1"/>
  <c r="H57" i="1"/>
  <c r="H56" i="1"/>
  <c r="H55" i="1"/>
  <c r="H54" i="1"/>
  <c r="H53" i="1"/>
  <c r="G62" i="1"/>
  <c r="G61" i="1"/>
  <c r="G59" i="1"/>
  <c r="G60" i="1"/>
  <c r="G58" i="1"/>
  <c r="G57" i="1"/>
  <c r="G56" i="1"/>
  <c r="G55" i="1"/>
  <c r="G54" i="1"/>
  <c r="G53" i="1"/>
  <c r="F62" i="1"/>
  <c r="F61" i="1"/>
  <c r="F60" i="1"/>
  <c r="F59" i="1"/>
  <c r="F58" i="1"/>
  <c r="F57" i="1"/>
  <c r="F56" i="1"/>
  <c r="F55" i="1"/>
  <c r="F54" i="1"/>
  <c r="F53" i="1"/>
  <c r="B5" i="51"/>
  <c r="B4" i="51"/>
  <c r="B5" i="50"/>
  <c r="B4" i="50"/>
  <c r="B5" i="49"/>
  <c r="B4" i="49"/>
  <c r="B5" i="48"/>
  <c r="B4" i="48"/>
  <c r="B5" i="47"/>
  <c r="B4" i="47"/>
  <c r="B5" i="46"/>
  <c r="B4" i="46"/>
  <c r="B5" i="45"/>
  <c r="B4" i="45"/>
  <c r="B4" i="44"/>
  <c r="B5" i="44"/>
  <c r="B4" i="43"/>
  <c r="B5" i="43"/>
  <c r="B5" i="42"/>
  <c r="B4" i="42"/>
  <c r="D160" i="51"/>
  <c r="D141" i="51"/>
  <c r="D9" i="51"/>
  <c r="D122" i="51"/>
  <c r="D103" i="51"/>
  <c r="D84" i="51"/>
  <c r="D65" i="51"/>
  <c r="D46" i="51"/>
  <c r="D27" i="51"/>
  <c r="D160" i="50"/>
  <c r="D141" i="50"/>
  <c r="D122" i="50"/>
  <c r="D103" i="50"/>
  <c r="D84" i="50"/>
  <c r="D65" i="50"/>
  <c r="D46" i="50"/>
  <c r="D27" i="50"/>
  <c r="D9" i="50"/>
  <c r="D160" i="49"/>
  <c r="D141" i="49"/>
  <c r="D9" i="49"/>
  <c r="D122" i="49"/>
  <c r="D103" i="49"/>
  <c r="D84" i="49"/>
  <c r="D65" i="49"/>
  <c r="D46" i="49"/>
  <c r="D27" i="49"/>
  <c r="D160" i="48"/>
  <c r="D141" i="48"/>
  <c r="D9" i="48"/>
  <c r="D122" i="48"/>
  <c r="D103" i="48"/>
  <c r="D84" i="48"/>
  <c r="D65" i="48"/>
  <c r="D46" i="48"/>
  <c r="D27" i="48"/>
  <c r="D160" i="47"/>
  <c r="D141" i="47"/>
  <c r="D9" i="47"/>
  <c r="D122" i="47"/>
  <c r="D103" i="47"/>
  <c r="D84" i="47"/>
  <c r="D65" i="47"/>
  <c r="D46" i="47"/>
  <c r="D27" i="47"/>
  <c r="D160" i="46"/>
  <c r="D141" i="46"/>
  <c r="D122" i="46"/>
  <c r="D103" i="46"/>
  <c r="D84" i="46"/>
  <c r="D65" i="46"/>
  <c r="D46" i="46"/>
  <c r="D27" i="46"/>
  <c r="D9" i="46"/>
  <c r="D160" i="45"/>
  <c r="D141" i="45"/>
  <c r="D9" i="45"/>
  <c r="D122" i="45"/>
  <c r="D103" i="45"/>
  <c r="D84" i="45"/>
  <c r="D65" i="45"/>
  <c r="D46" i="45"/>
  <c r="D27" i="45"/>
  <c r="D160" i="44"/>
  <c r="D141" i="44"/>
  <c r="D9" i="44"/>
  <c r="D122" i="44"/>
  <c r="D103" i="44"/>
  <c r="D84" i="44"/>
  <c r="D65" i="44"/>
  <c r="D46" i="44"/>
  <c r="D27" i="44"/>
  <c r="D160" i="43"/>
  <c r="D141" i="43"/>
  <c r="D9" i="43"/>
  <c r="D122" i="43"/>
  <c r="D103" i="43"/>
  <c r="D84" i="43"/>
  <c r="D65" i="43"/>
  <c r="D46" i="43"/>
  <c r="D27" i="43"/>
  <c r="D160" i="42"/>
  <c r="D141" i="42"/>
  <c r="D9" i="42"/>
  <c r="D122" i="42"/>
  <c r="D103" i="42"/>
  <c r="D84" i="42"/>
  <c r="D65" i="42"/>
  <c r="D46" i="42"/>
  <c r="D27" i="42"/>
  <c r="M52" i="1"/>
  <c r="M51" i="1"/>
  <c r="M50" i="1"/>
  <c r="M49" i="1"/>
  <c r="M48" i="1"/>
  <c r="M47" i="1"/>
  <c r="M45" i="1"/>
  <c r="M46" i="1"/>
  <c r="M44" i="1"/>
  <c r="M43" i="1"/>
  <c r="L52" i="1"/>
  <c r="L51" i="1"/>
  <c r="L50" i="1"/>
  <c r="L49" i="1"/>
  <c r="N49" i="1"/>
  <c r="L48" i="1"/>
  <c r="N48" i="1"/>
  <c r="L47" i="1"/>
  <c r="N47" i="1"/>
  <c r="L46" i="1"/>
  <c r="L45" i="1"/>
  <c r="N45" i="1"/>
  <c r="L44" i="1"/>
  <c r="N44" i="1"/>
  <c r="L43" i="1"/>
  <c r="N43" i="1"/>
  <c r="K51" i="1"/>
  <c r="K50" i="1"/>
  <c r="K49" i="1"/>
  <c r="K48" i="1"/>
  <c r="K47" i="1"/>
  <c r="K46" i="1"/>
  <c r="K45" i="1"/>
  <c r="K44" i="1"/>
  <c r="K43" i="1"/>
  <c r="J52" i="1"/>
  <c r="J51" i="1"/>
  <c r="J50" i="1"/>
  <c r="J49" i="1"/>
  <c r="J48" i="1"/>
  <c r="J47" i="1"/>
  <c r="J46" i="1"/>
  <c r="J45" i="1"/>
  <c r="J44" i="1"/>
  <c r="J43" i="1"/>
  <c r="I52" i="1"/>
  <c r="I51" i="1"/>
  <c r="I50" i="1"/>
  <c r="I49" i="1"/>
  <c r="I48" i="1"/>
  <c r="I47" i="1"/>
  <c r="I46" i="1"/>
  <c r="I45" i="1"/>
  <c r="I44" i="1"/>
  <c r="I43" i="1"/>
  <c r="H52" i="1"/>
  <c r="H51" i="1"/>
  <c r="H50" i="1"/>
  <c r="H49" i="1"/>
  <c r="H48" i="1"/>
  <c r="H47" i="1"/>
  <c r="H46" i="1"/>
  <c r="H45" i="1"/>
  <c r="H44" i="1"/>
  <c r="H43" i="1"/>
  <c r="G52" i="1"/>
  <c r="G51" i="1"/>
  <c r="G50" i="1"/>
  <c r="G49" i="1"/>
  <c r="G48" i="1"/>
  <c r="G47" i="1"/>
  <c r="G46" i="1"/>
  <c r="G45" i="1"/>
  <c r="G44" i="1"/>
  <c r="G43" i="1"/>
  <c r="F52" i="1"/>
  <c r="F51" i="1"/>
  <c r="F50" i="1"/>
  <c r="F49" i="1"/>
  <c r="F48" i="1"/>
  <c r="F47" i="1"/>
  <c r="F46" i="1"/>
  <c r="F45" i="1"/>
  <c r="F44" i="1"/>
  <c r="F43" i="1"/>
  <c r="B5" i="41"/>
  <c r="B4" i="41"/>
  <c r="B5" i="40"/>
  <c r="B4" i="40"/>
  <c r="B5" i="39"/>
  <c r="B4" i="39"/>
  <c r="B5" i="38"/>
  <c r="B4" i="38"/>
  <c r="B5" i="37"/>
  <c r="B4" i="37"/>
  <c r="B5" i="36"/>
  <c r="B4" i="36"/>
  <c r="B5" i="35"/>
  <c r="B4" i="35"/>
  <c r="B5" i="34"/>
  <c r="B4" i="34"/>
  <c r="B5" i="33"/>
  <c r="B4" i="33"/>
  <c r="B5" i="32"/>
  <c r="B4" i="32"/>
  <c r="D160" i="41"/>
  <c r="D141" i="41"/>
  <c r="D122" i="41"/>
  <c r="D103" i="41"/>
  <c r="D84" i="41"/>
  <c r="D65" i="41"/>
  <c r="D46" i="41"/>
  <c r="D27" i="41"/>
  <c r="D9" i="41"/>
  <c r="D160" i="40"/>
  <c r="D141" i="40"/>
  <c r="D9" i="40"/>
  <c r="D122" i="40"/>
  <c r="D103" i="40"/>
  <c r="D84" i="40"/>
  <c r="D65" i="40"/>
  <c r="D46" i="40"/>
  <c r="D27" i="40"/>
  <c r="D160" i="39"/>
  <c r="D141" i="39"/>
  <c r="D9" i="39"/>
  <c r="D122" i="39"/>
  <c r="D103" i="39"/>
  <c r="D84" i="39"/>
  <c r="D65" i="39"/>
  <c r="D46" i="39"/>
  <c r="D27" i="39"/>
  <c r="D160" i="38"/>
  <c r="D141" i="38"/>
  <c r="D9" i="38"/>
  <c r="D122" i="38"/>
  <c r="D103" i="38"/>
  <c r="D84" i="38"/>
  <c r="D65" i="38"/>
  <c r="D46" i="38"/>
  <c r="D27" i="38"/>
  <c r="D160" i="37"/>
  <c r="D141" i="37"/>
  <c r="D122" i="37"/>
  <c r="D103" i="37"/>
  <c r="D84" i="37"/>
  <c r="D65" i="37"/>
  <c r="D46" i="37"/>
  <c r="D27" i="37"/>
  <c r="D9" i="37"/>
  <c r="D160" i="36"/>
  <c r="D141" i="36"/>
  <c r="D9" i="36"/>
  <c r="D122" i="36"/>
  <c r="D103" i="36"/>
  <c r="D84" i="36"/>
  <c r="D65" i="36"/>
  <c r="D46" i="36"/>
  <c r="D27" i="36"/>
  <c r="D160" i="35"/>
  <c r="D141" i="35"/>
  <c r="D9" i="35"/>
  <c r="D122" i="35"/>
  <c r="D103" i="35"/>
  <c r="D84" i="35"/>
  <c r="D65" i="35"/>
  <c r="D46" i="35"/>
  <c r="D27" i="35"/>
  <c r="D160" i="34"/>
  <c r="D141" i="34"/>
  <c r="D9" i="34"/>
  <c r="D122" i="34"/>
  <c r="D103" i="34"/>
  <c r="D84" i="34"/>
  <c r="D65" i="34"/>
  <c r="D46" i="34"/>
  <c r="D27" i="34"/>
  <c r="D160" i="33"/>
  <c r="D141" i="33"/>
  <c r="D122" i="33"/>
  <c r="D103" i="33"/>
  <c r="D84" i="33"/>
  <c r="D65" i="33"/>
  <c r="D46" i="33"/>
  <c r="D27" i="33"/>
  <c r="D9" i="33"/>
  <c r="D160" i="32"/>
  <c r="D141" i="32"/>
  <c r="D9" i="32"/>
  <c r="D122" i="32"/>
  <c r="D103" i="32"/>
  <c r="D84" i="32"/>
  <c r="D65" i="32"/>
  <c r="D46" i="32"/>
  <c r="D27" i="32"/>
  <c r="N52" i="1"/>
  <c r="N53" i="1"/>
  <c r="N54" i="1"/>
  <c r="N55" i="1"/>
  <c r="N56" i="1"/>
  <c r="N57" i="1"/>
  <c r="N58" i="1"/>
  <c r="N60" i="1"/>
  <c r="N61" i="1"/>
  <c r="N63" i="1"/>
  <c r="N64" i="1"/>
  <c r="N67" i="1"/>
  <c r="N68" i="1"/>
  <c r="N69" i="1"/>
  <c r="N71" i="1"/>
  <c r="N72" i="1"/>
  <c r="N73" i="1"/>
  <c r="N74" i="1"/>
  <c r="N76" i="1"/>
  <c r="N77" i="1"/>
  <c r="N78" i="1"/>
  <c r="N79" i="1"/>
  <c r="N80" i="1"/>
  <c r="N81" i="1"/>
  <c r="N82" i="1"/>
  <c r="N50" i="1"/>
  <c r="N51" i="1"/>
  <c r="N46" i="1"/>
  <c r="F41" i="1"/>
  <c r="G41" i="1"/>
  <c r="H41" i="1"/>
  <c r="I41" i="1"/>
  <c r="J41" i="1"/>
  <c r="K41" i="1"/>
  <c r="L41" i="1"/>
  <c r="N41" i="1"/>
  <c r="M41" i="1"/>
  <c r="F42" i="1"/>
  <c r="G42" i="1"/>
  <c r="H42" i="1"/>
  <c r="I42" i="1"/>
  <c r="J42" i="1"/>
  <c r="K42" i="1"/>
  <c r="L42" i="1"/>
  <c r="N42" i="1"/>
  <c r="M42" i="1"/>
  <c r="F33" i="1"/>
  <c r="G33" i="1"/>
  <c r="H33" i="1"/>
  <c r="I33" i="1"/>
  <c r="J33" i="1"/>
  <c r="K33" i="1"/>
  <c r="L33" i="1"/>
  <c r="M33" i="1"/>
  <c r="N33" i="1"/>
  <c r="F34" i="1"/>
  <c r="G34" i="1"/>
  <c r="H34" i="1"/>
  <c r="I34" i="1"/>
  <c r="J34" i="1"/>
  <c r="K34" i="1"/>
  <c r="L34" i="1"/>
  <c r="N34" i="1"/>
  <c r="M34" i="1"/>
  <c r="F35" i="1"/>
  <c r="G35" i="1"/>
  <c r="H35" i="1"/>
  <c r="I35" i="1"/>
  <c r="J35" i="1"/>
  <c r="K35" i="1"/>
  <c r="L35" i="1"/>
  <c r="N35" i="1"/>
  <c r="M35" i="1"/>
  <c r="F36" i="1"/>
  <c r="G36" i="1"/>
  <c r="H36" i="1"/>
  <c r="I36" i="1"/>
  <c r="J36" i="1"/>
  <c r="K36" i="1"/>
  <c r="L36" i="1"/>
  <c r="N36" i="1"/>
  <c r="M36" i="1"/>
  <c r="F37" i="1"/>
  <c r="G37" i="1"/>
  <c r="H37" i="1"/>
  <c r="I37" i="1"/>
  <c r="J37" i="1"/>
  <c r="K37" i="1"/>
  <c r="L37" i="1"/>
  <c r="N37" i="1"/>
  <c r="M37" i="1"/>
  <c r="F38" i="1"/>
  <c r="G38" i="1"/>
  <c r="H38" i="1"/>
  <c r="I38" i="1"/>
  <c r="J38" i="1"/>
  <c r="K38" i="1"/>
  <c r="L38" i="1"/>
  <c r="N38" i="1"/>
  <c r="M38" i="1"/>
  <c r="F39" i="1"/>
  <c r="G39" i="1"/>
  <c r="H39" i="1"/>
  <c r="I39" i="1"/>
  <c r="J39" i="1"/>
  <c r="K39" i="1"/>
  <c r="L39" i="1"/>
  <c r="N39" i="1"/>
  <c r="M39" i="1"/>
  <c r="F40" i="1"/>
  <c r="G40" i="1"/>
  <c r="H40" i="1"/>
  <c r="I40" i="1"/>
  <c r="J40" i="1"/>
  <c r="K40" i="1"/>
  <c r="L40" i="1"/>
  <c r="N40" i="1"/>
  <c r="M40" i="1"/>
  <c r="D141" i="23"/>
  <c r="B5" i="31"/>
  <c r="B4" i="31"/>
  <c r="B5" i="30"/>
  <c r="B4" i="30"/>
  <c r="B5" i="29"/>
  <c r="B4" i="29"/>
  <c r="B5" i="28"/>
  <c r="B4" i="28"/>
  <c r="B5" i="27"/>
  <c r="B4" i="27"/>
  <c r="B5" i="26"/>
  <c r="B4" i="26"/>
  <c r="B5" i="25"/>
  <c r="B4" i="25"/>
  <c r="B4" i="24"/>
  <c r="B5" i="24"/>
  <c r="B5" i="23"/>
  <c r="B4" i="23"/>
  <c r="B5" i="2"/>
  <c r="B4" i="2"/>
  <c r="D160" i="31"/>
  <c r="D141" i="31"/>
  <c r="D9" i="31"/>
  <c r="D122" i="31"/>
  <c r="D103" i="31"/>
  <c r="D84" i="31"/>
  <c r="D65" i="31"/>
  <c r="D46" i="31"/>
  <c r="D27" i="31"/>
  <c r="D160" i="30"/>
  <c r="D141" i="30"/>
  <c r="D9" i="30"/>
  <c r="D122" i="30"/>
  <c r="D103" i="30"/>
  <c r="D84" i="30"/>
  <c r="D65" i="30"/>
  <c r="D46" i="30"/>
  <c r="D27" i="30"/>
  <c r="D160" i="29"/>
  <c r="D141" i="29"/>
  <c r="D9" i="29"/>
  <c r="D122" i="29"/>
  <c r="D103" i="29"/>
  <c r="D84" i="29"/>
  <c r="D65" i="29"/>
  <c r="D46" i="29"/>
  <c r="D27" i="29"/>
  <c r="D160" i="28"/>
  <c r="D141" i="28"/>
  <c r="D9" i="28"/>
  <c r="D122" i="28"/>
  <c r="D103" i="28"/>
  <c r="D84" i="28"/>
  <c r="D65" i="28"/>
  <c r="D46" i="28"/>
  <c r="D27" i="28"/>
  <c r="D160" i="27"/>
  <c r="D141" i="27"/>
  <c r="D9" i="27"/>
  <c r="D122" i="27"/>
  <c r="D103" i="27"/>
  <c r="D84" i="27"/>
  <c r="D65" i="27"/>
  <c r="D46" i="27"/>
  <c r="D27" i="27"/>
  <c r="D160" i="26"/>
  <c r="D141" i="26"/>
  <c r="D122" i="26"/>
  <c r="D103" i="26"/>
  <c r="D84" i="26"/>
  <c r="D65" i="26"/>
  <c r="D46" i="26"/>
  <c r="D27" i="26"/>
  <c r="D9" i="26"/>
  <c r="D160" i="25"/>
  <c r="D141" i="25"/>
  <c r="D9" i="25"/>
  <c r="D122" i="25"/>
  <c r="D103" i="25"/>
  <c r="D84" i="25"/>
  <c r="D65" i="25"/>
  <c r="D46" i="25"/>
  <c r="D27" i="25"/>
  <c r="D160" i="24"/>
  <c r="D141" i="24"/>
  <c r="D9" i="24"/>
  <c r="D122" i="24"/>
  <c r="D103" i="24"/>
  <c r="D84" i="24"/>
  <c r="D65" i="24"/>
  <c r="D46" i="24"/>
  <c r="D27" i="24"/>
  <c r="D160" i="23"/>
  <c r="D122" i="23"/>
  <c r="D103" i="23"/>
  <c r="D84" i="23"/>
  <c r="D65" i="23"/>
  <c r="D46" i="23"/>
  <c r="D27" i="23"/>
  <c r="D9" i="23"/>
  <c r="D27" i="2"/>
  <c r="D103" i="2"/>
  <c r="D84" i="2"/>
  <c r="D46" i="2"/>
  <c r="D65" i="2"/>
  <c r="D122" i="2"/>
  <c r="D141" i="2"/>
  <c r="D9" i="2"/>
  <c r="D160" i="2"/>
  <c r="D31" i="1"/>
  <c r="N31" i="1"/>
</calcChain>
</file>

<file path=xl/sharedStrings.xml><?xml version="1.0" encoding="utf-8"?>
<sst xmlns="http://schemas.openxmlformats.org/spreadsheetml/2006/main" count="7837" uniqueCount="193">
  <si>
    <t>GRANTEE INFORMATION</t>
  </si>
  <si>
    <t>Contact Person for Report:</t>
  </si>
  <si>
    <t>Phone Number:</t>
  </si>
  <si>
    <t>Email:</t>
  </si>
  <si>
    <t>Time Period:</t>
  </si>
  <si>
    <t>to</t>
  </si>
  <si>
    <t>CERTIFICATION</t>
  </si>
  <si>
    <t>Certified Financial Officer Signature</t>
  </si>
  <si>
    <t>Date</t>
  </si>
  <si>
    <t>City/Town</t>
  </si>
  <si>
    <t>Zip + 4</t>
  </si>
  <si>
    <t>Demolition</t>
  </si>
  <si>
    <t>Property Address</t>
  </si>
  <si>
    <t>Pin #</t>
  </si>
  <si>
    <t>Select one:</t>
  </si>
  <si>
    <t>Total Number of Properties Submitted:</t>
  </si>
  <si>
    <t>Total Requested Reimbursement Amount:</t>
  </si>
  <si>
    <t>QUARTERLY SUBMISSION INFORMATION</t>
  </si>
  <si>
    <t>Total Requested              Loan Amount</t>
  </si>
  <si>
    <t>Property Address:</t>
  </si>
  <si>
    <t>Pin #:</t>
  </si>
  <si>
    <t>Expense</t>
  </si>
  <si>
    <t>Description</t>
  </si>
  <si>
    <t>Label Name</t>
  </si>
  <si>
    <t>Individual Property Expense Report</t>
  </si>
  <si>
    <t>Amount</t>
  </si>
  <si>
    <t>Demolition Costs</t>
  </si>
  <si>
    <t>Total demolition costs:</t>
  </si>
  <si>
    <t>First Review</t>
  </si>
  <si>
    <t>Second Review</t>
  </si>
  <si>
    <t>Comments</t>
  </si>
  <si>
    <t>Total Final Cost:</t>
  </si>
  <si>
    <t>INTERNAL USE ONLY: DO NOT WRITE IN THIS SECTION</t>
  </si>
  <si>
    <t>General comments:</t>
  </si>
  <si>
    <t>(i.e. number of apartments, duplex is 2 units, etc.)</t>
  </si>
  <si>
    <t>Property #</t>
  </si>
  <si>
    <t>Number of Confirmed Units:</t>
  </si>
  <si>
    <t>Nothing to report this quarter</t>
  </si>
  <si>
    <t>PROPERTY LISTING TABLE</t>
  </si>
  <si>
    <t>Abandoned Residential Property Municipality Relief Program (APP)</t>
  </si>
  <si>
    <t>Quarterly Accounting of Grant Expenses &amp; Reimbursement Request Form</t>
  </si>
  <si>
    <t>Grantee Name:</t>
  </si>
  <si>
    <t>Expenses submitted for reimbursement</t>
  </si>
  <si>
    <t>Authorized Grantee Signature</t>
  </si>
  <si>
    <t>Rehabilitation</t>
  </si>
  <si>
    <t>Boarding/ closing off/ locking windows or entrances</t>
  </si>
  <si>
    <t>Surrounding property with a fence/ wall</t>
  </si>
  <si>
    <t>Pest extermination/ prevention</t>
  </si>
  <si>
    <t>Garbage/ debris/graffiti removal</t>
  </si>
  <si>
    <t>Tree or bush trimming and removal</t>
  </si>
  <si>
    <t>Cutting grass/ neglected weeds</t>
  </si>
  <si>
    <t>Cutting Grass/Neglected Weeds Costs</t>
  </si>
  <si>
    <t>Tree or Bush Trimming and Removal</t>
  </si>
  <si>
    <t>Total cutting grass/neglected weeds costs:</t>
  </si>
  <si>
    <t>Total tree or bush trimming and removal costs:</t>
  </si>
  <si>
    <t>Pest Extermination/Prevention</t>
  </si>
  <si>
    <t>Total pest extermination/prevention costs:</t>
  </si>
  <si>
    <t>Garbage/Debris/Grafitti Removal</t>
  </si>
  <si>
    <t>Total garbage/debris/grafitti costs:</t>
  </si>
  <si>
    <t>Boarding/Closing Off/Locking Windows or Entrances Costs</t>
  </si>
  <si>
    <t>Boarding/Closing Off/Locking Windows or Entrances</t>
  </si>
  <si>
    <t>Total boarding/closing off/locking windows or entrances costs:</t>
  </si>
  <si>
    <t>Surrounding Property with a Fence/Wall</t>
  </si>
  <si>
    <t>Total surrounding property with a fence/wall costs:</t>
  </si>
  <si>
    <t>Rehabilitation Costs</t>
  </si>
  <si>
    <t>Total rehabilitation costs:</t>
  </si>
  <si>
    <t>Cutting Grass/Neglected Weeds</t>
  </si>
  <si>
    <t>Tree or Bush Trimming and Removal Costs</t>
  </si>
  <si>
    <t>Pest Extermination/Prevention Costs</t>
  </si>
  <si>
    <t>Garbage/Debris/Grafitti Removal Costs</t>
  </si>
  <si>
    <t>Surrounding Property with a Fence/Wall Costs</t>
  </si>
  <si>
    <r>
      <t xml:space="preserve">Complete this report by clearly itemizing all expenses specifically associated with your Abandoned Property Program Agreement. You must complete all columns for each expense listed; list descriptions of individual activities in the </t>
    </r>
    <r>
      <rPr>
        <b/>
        <sz val="9"/>
        <rFont val="Calibri"/>
        <family val="2"/>
        <scheme val="minor"/>
      </rPr>
      <t>Description</t>
    </r>
    <r>
      <rPr>
        <sz val="9"/>
        <rFont val="Calibri"/>
        <family val="2"/>
        <scheme val="minor"/>
      </rPr>
      <t xml:space="preserve"> column. Every item provided must be labeled and clearly identified in the</t>
    </r>
    <r>
      <rPr>
        <b/>
        <sz val="9"/>
        <rFont val="Calibri"/>
        <family val="2"/>
        <scheme val="minor"/>
      </rPr>
      <t xml:space="preserve"> Label Name</t>
    </r>
    <r>
      <rPr>
        <sz val="9"/>
        <rFont val="Calibri"/>
        <family val="2"/>
        <scheme val="minor"/>
      </rPr>
      <t xml:space="preserve"> column.</t>
    </r>
  </si>
  <si>
    <r>
      <t>Complete this report (</t>
    </r>
    <r>
      <rPr>
        <b/>
        <sz val="11"/>
        <rFont val="Calibri"/>
        <family val="2"/>
        <scheme val="minor"/>
      </rPr>
      <t>including all applicable property tabs</t>
    </r>
    <r>
      <rPr>
        <sz val="11"/>
        <rFont val="Calibri"/>
        <family val="2"/>
        <scheme val="minor"/>
      </rPr>
      <t xml:space="preserve">) for your Abandoned Property Program reimbursements by inputting information in all applicable gray and white boxes. Complete one PDF per property, organized in the same order that they appear on the summary sheet, listing one line item for each cost/activity. All documents shall be submitted electronically to </t>
    </r>
    <r>
      <rPr>
        <b/>
        <sz val="11"/>
        <rFont val="Calibri"/>
        <family val="2"/>
        <scheme val="minor"/>
      </rPr>
      <t>appinfo@ihda.org</t>
    </r>
    <r>
      <rPr>
        <sz val="11"/>
        <rFont val="Calibri"/>
        <family val="2"/>
        <scheme val="minor"/>
      </rPr>
      <t>. Sign and certify below.</t>
    </r>
  </si>
  <si>
    <t>The undersigned certifies that the information contained herein is true and accurate and the itemized expenses included are related to Eligible Uses under the Abandoned Property Program. The undersigned further certifies that all books, records, and supporting documents in relation to the itemized expenses listed herein are maintained at the office of the undersigned and are available for inspection by the Illinois Housing Development Authority, the Illinois Attorney General, the Illinois Auditor General, or any of their designated representatives, and as otherwise required by applicable state law.</t>
  </si>
  <si>
    <t xml:space="preserve">CHICAGO IL     </t>
  </si>
  <si>
    <t>CHICAGO IL</t>
  </si>
  <si>
    <t xml:space="preserve">CHICAGO IL </t>
  </si>
  <si>
    <t xml:space="preserve"> CHICAGO IL</t>
  </si>
  <si>
    <t xml:space="preserve"> CHICAGO IL </t>
  </si>
  <si>
    <t>60628-</t>
  </si>
  <si>
    <t xml:space="preserve">CHICAGO IL  </t>
  </si>
  <si>
    <t>60636-</t>
  </si>
  <si>
    <t>60623-</t>
  </si>
  <si>
    <t>60609-</t>
  </si>
  <si>
    <t>60624-</t>
  </si>
  <si>
    <t>60651-</t>
  </si>
  <si>
    <t>60644-</t>
  </si>
  <si>
    <t>60629-</t>
  </si>
  <si>
    <t>4039 W MONROE ST</t>
  </si>
  <si>
    <t>4063 S MAPLEWOOD AVE</t>
  </si>
  <si>
    <t>4107 W ROOSEVELT RD</t>
  </si>
  <si>
    <t>4139 W FIFTH AVE</t>
  </si>
  <si>
    <t>4143 W GLADYS AVE</t>
  </si>
  <si>
    <t>4143 W VAN BUREN ST</t>
  </si>
  <si>
    <t>4150 W JACKSON BLVD</t>
  </si>
  <si>
    <t>41 W 111TH PL</t>
  </si>
  <si>
    <t>4218 W ADAMS ST</t>
  </si>
  <si>
    <t xml:space="preserve">421 W 103RD ST </t>
  </si>
  <si>
    <t>4221 W 25TH PL</t>
  </si>
  <si>
    <t>423 W 65TH ST</t>
  </si>
  <si>
    <t>42 W 113TH PL</t>
  </si>
  <si>
    <t>4308 W MAYPOLE AVE</t>
  </si>
  <si>
    <t>430 W 97TH ST</t>
  </si>
  <si>
    <t>4320 W WASHINGTON BLVD</t>
  </si>
  <si>
    <t>4418 W CONGRESS PKWY</t>
  </si>
  <si>
    <t>4428 W LELAND AVE</t>
  </si>
  <si>
    <t>4431 W CONGRESS PWKY</t>
  </si>
  <si>
    <t>60632-</t>
  </si>
  <si>
    <t>60621-</t>
  </si>
  <si>
    <t>60630-</t>
  </si>
  <si>
    <t>4450 W CONGRESS PKWY</t>
  </si>
  <si>
    <t>448 W 103RD PL</t>
  </si>
  <si>
    <t>4510 W HARRISON ST</t>
  </si>
  <si>
    <t>4552 N ST LOUIS AVE</t>
  </si>
  <si>
    <t>4607 S HONORE ST</t>
  </si>
  <si>
    <t>4609 S HONORE ST</t>
  </si>
  <si>
    <t>4709 W CHICAGO AVE</t>
  </si>
  <si>
    <t>4718 W VAN BUREN ST</t>
  </si>
  <si>
    <t>4725 W MAYPOLE AVE</t>
  </si>
  <si>
    <t>4742 W OHIO ST</t>
  </si>
  <si>
    <t>4744 W VAN BUREN ST</t>
  </si>
  <si>
    <t>4813 S WOOD ST</t>
  </si>
  <si>
    <t>48 W 113TH PL</t>
  </si>
  <si>
    <t>4926 W ADAMS ST</t>
  </si>
  <si>
    <t>4958 S PRINCETON AVE</t>
  </si>
  <si>
    <t>5018 S KILDARE AVE</t>
  </si>
  <si>
    <t>5019 S ELIZABETH ST</t>
  </si>
  <si>
    <t>5021 S JUSTINE ST</t>
  </si>
  <si>
    <t>5028 S FAIRFIELD AVE</t>
  </si>
  <si>
    <t>5035 S ELIZABETH ST</t>
  </si>
  <si>
    <t>5048 W CHICAGO AVE</t>
  </si>
  <si>
    <t>5122 S HONORE ST</t>
  </si>
  <si>
    <t>5125 S PAULINA ST</t>
  </si>
  <si>
    <t>5136 S PAULINA ST</t>
  </si>
  <si>
    <t>513 N LAWNDALE AVE</t>
  </si>
  <si>
    <t>5140 W FULTON ST</t>
  </si>
  <si>
    <t>5142 S WOLCOTT AVE</t>
  </si>
  <si>
    <t>5148 S EMERALD AVE</t>
  </si>
  <si>
    <t>5151 S PAULINA ST</t>
  </si>
  <si>
    <t>515 W 62ND ST</t>
  </si>
  <si>
    <t>5212 S MARSHFIELD AVE</t>
  </si>
  <si>
    <t>5213 S ABERDEEN ST</t>
  </si>
  <si>
    <t>5216 W FERDINAND ST</t>
  </si>
  <si>
    <t>5218 S LAFLIN ST</t>
  </si>
  <si>
    <t>5222 W FERDINAND ST</t>
  </si>
  <si>
    <t>5223 S MORGAN ST</t>
  </si>
  <si>
    <t>5245 S MARSHFIELD AVE</t>
  </si>
  <si>
    <t>5246 S MARSHFIELD AVE</t>
  </si>
  <si>
    <t>5300 S MAY ST</t>
  </si>
  <si>
    <t>5314 S ABERDEEN ST</t>
  </si>
  <si>
    <t>5320 W FERDINAND ST</t>
  </si>
  <si>
    <t>5326 S PAULINA ST</t>
  </si>
  <si>
    <t xml:space="preserve">5326 W FERDINAND </t>
  </si>
  <si>
    <t>5328 S UNION AVE</t>
  </si>
  <si>
    <t>5331 S PAULINA ST</t>
  </si>
  <si>
    <t>5337 S LAFLIN ST</t>
  </si>
  <si>
    <t>5344 S WINCHESTER AVE</t>
  </si>
  <si>
    <t>5348 S HOYNE AVE</t>
  </si>
  <si>
    <t>5348 S PAULINA ST</t>
  </si>
  <si>
    <t>534 N LEAMINGTON AVE</t>
  </si>
  <si>
    <t>539 N SPAULDING AVE</t>
  </si>
  <si>
    <t>5422 S LAFLIN ST</t>
  </si>
  <si>
    <t>5428 S WINCHESTER AVE</t>
  </si>
  <si>
    <t>5430 S JUSTINE ST</t>
  </si>
  <si>
    <t>5444 S LAFLIN ST</t>
  </si>
  <si>
    <t>5538 S LAFAYETTE AVE</t>
  </si>
  <si>
    <t>5540 S LAFAYETTE AVE</t>
  </si>
  <si>
    <t>5541 S SHIELDS AVE</t>
  </si>
  <si>
    <t>5543 S JUSTINE ST</t>
  </si>
  <si>
    <t>557 N CICERO AVE</t>
  </si>
  <si>
    <t>5619 S ADA ST</t>
  </si>
  <si>
    <t>5620 S PAULINA ST</t>
  </si>
  <si>
    <t>5635 S SHIELDS AVE</t>
  </si>
  <si>
    <t>5708 N RIDGE AVE</t>
  </si>
  <si>
    <t>5718 S DAMEN AVE</t>
  </si>
  <si>
    <t>5721 S ABERDEEN ST</t>
  </si>
  <si>
    <t>5726 S PEORIA ST</t>
  </si>
  <si>
    <t>5734 S ARTESIAN AVE</t>
  </si>
  <si>
    <t>5735 S HAMILTON AVE</t>
  </si>
  <si>
    <t>5747 S DAMEN AVE</t>
  </si>
  <si>
    <t>5751 S HOYNE AVE</t>
  </si>
  <si>
    <t>5858 W DIVISION ST</t>
  </si>
  <si>
    <t>58 E 101ST PL</t>
  </si>
  <si>
    <t>5916 S PAULINA ST</t>
  </si>
  <si>
    <t>5920 S GREEN ST</t>
  </si>
  <si>
    <t>5944 S HERMITAGE AVE</t>
  </si>
  <si>
    <t>6044 S ADA ST</t>
  </si>
  <si>
    <t>6058 S RACINE AVE</t>
  </si>
  <si>
    <t>6108 S MARSHFIELD AVE</t>
  </si>
  <si>
    <t>6109 S PAULINA AVE</t>
  </si>
  <si>
    <t>6110 S MARSHFIELD AVE</t>
  </si>
  <si>
    <t>60625-</t>
  </si>
  <si>
    <t>60660-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</si>
</sst>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lt;=9999999]###\-####;\(###\)\ ###\-####"/>
    <numFmt numFmtId="165" formatCode="00000\-0000"/>
    <numFmt numFmtId="166" formatCode="&quot;$&quot;#,##0.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1"/>
      <color theme="0"/>
      <name val="Calibri"/>
      <family val="2"/>
      <scheme val="minor"/>
    </font>
    <font>
      <b/>
      <sz val="11"/>
      <color theme="1"/>
      <name val="Calibri"/>
      <family val="2"/>
      <scheme val="minor"/>
    </font>
    <font>
      <sz val="11"/>
      <color theme="0"/>
      <name val="Calibri"/>
      <family val="2"/>
      <scheme val="minor"/>
    </font>
    <font>
      <sz val="12"/>
      <name val="Arial"/>
      <family val="2"/>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sz val="10"/>
      <name val="Arial"/>
      <family val="2"/>
    </font>
    <font>
      <i/>
      <sz val="10"/>
      <name val="Arial"/>
      <family val="2"/>
    </font>
    <font>
      <b/>
      <sz val="11"/>
      <name val="Calibri"/>
      <family val="2"/>
      <scheme val="minor"/>
    </font>
    <font>
      <sz val="11"/>
      <name val="Calibri"/>
      <family val="2"/>
      <scheme val="minor"/>
    </font>
    <font>
      <i/>
      <sz val="10"/>
      <name val="Calibri"/>
      <family val="2"/>
      <scheme val="minor"/>
    </font>
    <font>
      <b/>
      <sz val="16"/>
      <name val="Calibri"/>
      <family val="2"/>
      <scheme val="minor"/>
    </font>
    <font>
      <b/>
      <sz val="20"/>
      <name val="Calibri"/>
      <family val="2"/>
      <scheme val="minor"/>
    </font>
    <font>
      <sz val="9"/>
      <name val="Calibri"/>
      <family val="2"/>
      <scheme val="minor"/>
    </font>
    <font>
      <b/>
      <sz val="9"/>
      <name val="Calibri"/>
      <family val="2"/>
      <scheme val="minor"/>
    </font>
    <font>
      <i/>
      <sz val="9"/>
      <name val="Calibri"/>
      <family val="2"/>
      <scheme val="minor"/>
    </font>
    <font>
      <b/>
      <sz val="10"/>
      <color indexed="9"/>
      <name val="Calibri"/>
      <family val="2"/>
      <scheme val="minor"/>
    </font>
    <font>
      <b/>
      <i/>
      <sz val="9"/>
      <name val="Calibri"/>
      <family val="2"/>
      <scheme val="minor"/>
    </font>
    <font>
      <i/>
      <sz val="11"/>
      <color theme="1"/>
      <name val="Calibri"/>
      <family val="2"/>
      <scheme val="minor"/>
    </font>
    <font>
      <i/>
      <sz val="8"/>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3"/>
      <name val="Calibri"/>
      <family val="2"/>
      <scheme val="minor"/>
    </font>
    <font>
      <b/>
      <i/>
      <sz val="11"/>
      <color theme="1"/>
      <name val="Calibri"/>
      <family val="2"/>
      <scheme val="minor"/>
    </font>
    <font>
      <sz val="9"/>
      <color theme="0"/>
      <name val="Calibri"/>
      <family val="2"/>
      <scheme val="minor"/>
    </font>
    <font>
      <b/>
      <sz val="10"/>
      <name val="Calibri"/>
      <family val="2"/>
      <scheme val="minor"/>
    </font>
    <font>
      <b/>
      <sz val="16"/>
      <color theme="0"/>
      <name val="Calibri"/>
      <family val="2"/>
      <scheme val="minor"/>
    </font>
    <font>
      <b/>
      <i/>
      <sz val="10"/>
      <color theme="1"/>
      <name val="Calibri"/>
      <family val="2"/>
      <scheme val="minor"/>
    </font>
    <font>
      <i/>
      <sz val="8"/>
      <name val="Calibri"/>
      <family val="2"/>
      <scheme val="minor"/>
    </font>
    <font>
      <sz val="9"/>
      <color indexed="8"/>
      <name val="Arial"/>
      <family val="2"/>
    </font>
  </fonts>
  <fills count="17">
    <fill>
      <patternFill patternType="none"/>
    </fill>
    <fill>
      <patternFill patternType="gray125"/>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tint="0.249977111117893"/>
        <bgColor indexed="64"/>
      </patternFill>
    </fill>
    <fill>
      <patternFill patternType="solid">
        <fgColor theme="0"/>
        <bgColor indexed="24"/>
      </patternFill>
    </fill>
    <fill>
      <patternFill patternType="solid">
        <fgColor theme="0" tint="-4.9989318521683403E-2"/>
        <bgColor indexed="64"/>
      </patternFill>
    </fill>
    <fill>
      <patternFill patternType="solid">
        <fgColor theme="8"/>
      </patternFill>
    </fill>
    <fill>
      <patternFill patternType="solid">
        <fgColor rgb="FFE6D4F8"/>
        <bgColor indexed="64"/>
      </patternFill>
    </fill>
    <fill>
      <patternFill patternType="solid">
        <fgColor rgb="FFF3EAFC"/>
        <bgColor indexed="64"/>
      </patternFill>
    </fill>
    <fill>
      <patternFill patternType="solid">
        <fgColor rgb="FFA566E4"/>
        <bgColor indexed="64"/>
      </patternFill>
    </fill>
    <fill>
      <patternFill patternType="solid">
        <fgColor rgb="FFE0CAF6"/>
        <bgColor indexed="64"/>
      </patternFill>
    </fill>
    <fill>
      <patternFill patternType="solid">
        <fgColor indexed="9"/>
        <bgColor indexed="9"/>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2" fillId="0" borderId="0" applyNumberFormat="0" applyFill="0" applyBorder="0" applyAlignment="0" applyProtection="0"/>
    <xf numFmtId="0" fontId="5"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5"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0" borderId="0"/>
    <xf numFmtId="0" fontId="6" fillId="0" borderId="0"/>
    <xf numFmtId="0" fontId="11" fillId="0" borderId="0"/>
    <xf numFmtId="0" fontId="5" fillId="11" borderId="0" applyNumberFormat="0" applyBorder="0" applyAlignment="0" applyProtection="0"/>
  </cellStyleXfs>
  <cellXfs count="185">
    <xf numFmtId="0" fontId="0" fillId="0" borderId="0" xfId="0"/>
    <xf numFmtId="0" fontId="16" fillId="0" borderId="0" xfId="10" applyFont="1" applyFill="1" applyBorder="1" applyAlignment="1" applyProtection="1">
      <alignment vertical="center"/>
      <protection hidden="1"/>
    </xf>
    <xf numFmtId="0" fontId="16" fillId="0" borderId="0" xfId="10" applyFont="1" applyFill="1" applyBorder="1" applyAlignment="1" applyProtection="1">
      <alignment horizontal="center" vertical="center"/>
      <protection hidden="1"/>
    </xf>
    <xf numFmtId="0" fontId="1" fillId="0" borderId="0" xfId="0" applyFont="1" applyProtection="1">
      <protection hidden="1"/>
    </xf>
    <xf numFmtId="0" fontId="18" fillId="9" borderId="0" xfId="10" applyFont="1" applyFill="1" applyBorder="1" applyAlignment="1" applyProtection="1">
      <alignment vertical="center" wrapText="1"/>
      <protection hidden="1"/>
    </xf>
    <xf numFmtId="0" fontId="18" fillId="9" borderId="0" xfId="10" applyFont="1" applyFill="1" applyBorder="1" applyAlignment="1" applyProtection="1">
      <alignment vertical="center"/>
      <protection hidden="1"/>
    </xf>
    <xf numFmtId="0" fontId="20" fillId="9" borderId="0" xfId="10" applyFont="1" applyFill="1" applyBorder="1" applyAlignment="1" applyProtection="1">
      <alignment horizontal="left" vertical="center" wrapText="1"/>
      <protection hidden="1"/>
    </xf>
    <xf numFmtId="0" fontId="1" fillId="0" borderId="0" xfId="0" applyFont="1" applyBorder="1" applyProtection="1">
      <protection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21" fillId="0" borderId="0" xfId="10" applyFont="1" applyFill="1" applyBorder="1" applyAlignment="1" applyProtection="1">
      <alignment horizontal="center" wrapText="1"/>
      <protection hidden="1"/>
    </xf>
    <xf numFmtId="0" fontId="24" fillId="0" borderId="0" xfId="0" applyFont="1" applyBorder="1" applyAlignment="1" applyProtection="1">
      <alignment horizontal="center"/>
      <protection hidden="1"/>
    </xf>
    <xf numFmtId="0" fontId="3" fillId="8" borderId="7" xfId="5" applyFont="1" applyFill="1" applyBorder="1" applyAlignment="1" applyProtection="1">
      <alignment horizontal="center" vertical="center" wrapText="1"/>
      <protection hidden="1"/>
    </xf>
    <xf numFmtId="44" fontId="4" fillId="3" borderId="8" xfId="3" applyNumberFormat="1" applyFont="1" applyBorder="1" applyAlignment="1" applyProtection="1">
      <alignment horizontal="center" vertical="center" wrapText="1"/>
      <protection hidden="1"/>
    </xf>
    <xf numFmtId="0" fontId="1" fillId="0" borderId="0" xfId="0" applyFont="1" applyFill="1" applyProtection="1">
      <protection hidden="1"/>
    </xf>
    <xf numFmtId="0" fontId="26" fillId="10" borderId="7" xfId="4" applyFont="1" applyFill="1" applyBorder="1" applyAlignment="1" applyProtection="1">
      <alignment horizontal="center" vertical="center"/>
      <protection hidden="1"/>
    </xf>
    <xf numFmtId="0" fontId="1" fillId="0" borderId="0" xfId="0" applyFont="1" applyFill="1" applyBorder="1" applyProtection="1">
      <protection hidden="1"/>
    </xf>
    <xf numFmtId="0" fontId="28" fillId="0" borderId="0" xfId="0" applyFont="1" applyAlignment="1" applyProtection="1">
      <alignment vertical="center"/>
      <protection hidden="1"/>
    </xf>
    <xf numFmtId="0" fontId="28" fillId="0" borderId="0" xfId="10" applyFont="1" applyFill="1" applyBorder="1" applyAlignment="1" applyProtection="1">
      <alignment vertical="center" wrapText="1"/>
      <protection hidden="1"/>
    </xf>
    <xf numFmtId="166" fontId="28" fillId="0" borderId="0" xfId="10" applyNumberFormat="1" applyFont="1" applyFill="1" applyBorder="1" applyAlignment="1" applyProtection="1">
      <alignment horizontal="right" vertical="center" wrapText="1"/>
      <protection hidden="1"/>
    </xf>
    <xf numFmtId="0" fontId="28" fillId="0" borderId="0" xfId="0" applyFont="1" applyFill="1" applyBorder="1" applyAlignment="1" applyProtection="1">
      <alignment vertical="center"/>
      <protection hidden="1"/>
    </xf>
    <xf numFmtId="0" fontId="30" fillId="8" borderId="13" xfId="7" applyFont="1" applyFill="1" applyBorder="1" applyAlignment="1" applyProtection="1">
      <alignment horizontal="center" wrapText="1"/>
      <protection hidden="1"/>
    </xf>
    <xf numFmtId="0" fontId="30" fillId="8" borderId="1" xfId="7" applyFont="1" applyFill="1" applyBorder="1" applyAlignment="1" applyProtection="1">
      <alignment horizontal="center" wrapText="1"/>
      <protection hidden="1"/>
    </xf>
    <xf numFmtId="0" fontId="30" fillId="8" borderId="14" xfId="7" applyFont="1" applyFill="1" applyBorder="1" applyAlignment="1" applyProtection="1">
      <alignment horizontal="center" wrapText="1"/>
      <protection hidden="1"/>
    </xf>
    <xf numFmtId="0" fontId="27" fillId="0" borderId="0" xfId="0" applyFont="1" applyAlignment="1" applyProtection="1">
      <alignment horizontal="center"/>
      <protection hidden="1"/>
    </xf>
    <xf numFmtId="0" fontId="18" fillId="0" borderId="5" xfId="10" applyFont="1" applyFill="1" applyBorder="1" applyAlignment="1" applyProtection="1">
      <alignment horizontal="center" wrapText="1"/>
      <protection hidden="1"/>
    </xf>
    <xf numFmtId="0" fontId="18" fillId="0" borderId="0" xfId="10" applyFont="1" applyFill="1" applyBorder="1" applyAlignment="1" applyProtection="1">
      <alignment horizontal="center" wrapText="1"/>
      <protection hidden="1"/>
    </xf>
    <xf numFmtId="166" fontId="18" fillId="0" borderId="0" xfId="10" applyNumberFormat="1" applyFont="1" applyFill="1" applyBorder="1" applyAlignment="1" applyProtection="1">
      <alignment horizontal="center" wrapText="1"/>
      <protection hidden="1"/>
    </xf>
    <xf numFmtId="0" fontId="27" fillId="0" borderId="0" xfId="0" applyFont="1" applyFill="1" applyBorder="1" applyAlignment="1" applyProtection="1">
      <alignment horizontal="center"/>
      <protection hidden="1"/>
    </xf>
    <xf numFmtId="0" fontId="18" fillId="0" borderId="0" xfId="10" applyFont="1" applyFill="1" applyBorder="1" applyAlignment="1" applyProtection="1">
      <alignment wrapText="1"/>
      <protection hidden="1"/>
    </xf>
    <xf numFmtId="166" fontId="18" fillId="0" borderId="0" xfId="10" applyNumberFormat="1" applyFont="1" applyFill="1" applyBorder="1" applyAlignment="1" applyProtection="1">
      <alignment horizontal="right" wrapText="1"/>
      <protection hidden="1"/>
    </xf>
    <xf numFmtId="0" fontId="22" fillId="0" borderId="0" xfId="10" applyFont="1" applyFill="1" applyBorder="1" applyAlignment="1" applyProtection="1">
      <alignment vertical="center" wrapText="1"/>
      <protection hidden="1"/>
    </xf>
    <xf numFmtId="166" fontId="22" fillId="0" borderId="0" xfId="10" applyNumberFormat="1" applyFont="1" applyFill="1" applyBorder="1" applyAlignment="1" applyProtection="1">
      <alignment horizontal="right" wrapText="1"/>
      <protection hidden="1"/>
    </xf>
    <xf numFmtId="0" fontId="7" fillId="0" borderId="0" xfId="10" applyFont="1" applyFill="1" applyBorder="1" applyAlignment="1" applyProtection="1">
      <alignment vertical="center" wrapText="1"/>
      <protection hidden="1"/>
    </xf>
    <xf numFmtId="0" fontId="23" fillId="0" borderId="0" xfId="0" applyFont="1" applyProtection="1">
      <protection hidden="1"/>
    </xf>
    <xf numFmtId="0" fontId="20" fillId="0" borderId="0" xfId="10" applyFont="1" applyFill="1" applyBorder="1" applyAlignment="1" applyProtection="1">
      <alignment wrapText="1"/>
      <protection hidden="1"/>
    </xf>
    <xf numFmtId="166" fontId="20" fillId="0" borderId="0" xfId="10" applyNumberFormat="1" applyFont="1" applyFill="1" applyBorder="1" applyAlignment="1" applyProtection="1">
      <alignment horizontal="right" wrapText="1"/>
      <protection hidden="1"/>
    </xf>
    <xf numFmtId="0" fontId="23" fillId="0" borderId="0" xfId="0" applyFont="1" applyFill="1" applyBorder="1" applyProtection="1">
      <protection hidden="1"/>
    </xf>
    <xf numFmtId="0" fontId="29" fillId="0" borderId="0" xfId="7" applyFont="1" applyFill="1" applyBorder="1" applyAlignment="1" applyProtection="1">
      <alignment horizontal="right"/>
      <protection hidden="1"/>
    </xf>
    <xf numFmtId="44" fontId="29" fillId="0" borderId="0" xfId="7" applyNumberFormat="1" applyFont="1" applyFill="1" applyBorder="1" applyProtection="1">
      <protection hidden="1"/>
    </xf>
    <xf numFmtId="0" fontId="23" fillId="0" borderId="0" xfId="0" applyFont="1" applyFill="1" applyProtection="1">
      <protection hidden="1"/>
    </xf>
    <xf numFmtId="0" fontId="27" fillId="0" borderId="0" xfId="0" applyFont="1" applyProtection="1">
      <protection hidden="1"/>
    </xf>
    <xf numFmtId="0" fontId="27" fillId="0" borderId="0" xfId="0" applyFont="1" applyFill="1" applyBorder="1" applyProtection="1">
      <protection hidden="1"/>
    </xf>
    <xf numFmtId="0" fontId="20" fillId="0" borderId="0" xfId="10" applyFont="1" applyFill="1" applyBorder="1" applyAlignment="1" applyProtection="1">
      <alignment horizontal="left" wrapText="1"/>
      <protection hidden="1"/>
    </xf>
    <xf numFmtId="0" fontId="28" fillId="0" borderId="0" xfId="10" applyFont="1" applyFill="1" applyBorder="1" applyAlignment="1" applyProtection="1">
      <alignment horizontal="left" vertical="center" wrapText="1"/>
      <protection hidden="1"/>
    </xf>
    <xf numFmtId="0" fontId="0" fillId="0" borderId="0" xfId="0" applyProtection="1">
      <protection hidden="1"/>
    </xf>
    <xf numFmtId="0" fontId="16" fillId="0" borderId="0" xfId="1" applyNumberFormat="1" applyFont="1" applyAlignment="1" applyProtection="1">
      <protection hidden="1"/>
    </xf>
    <xf numFmtId="0" fontId="17" fillId="0" borderId="0" xfId="1" applyFont="1" applyAlignment="1" applyProtection="1">
      <alignment horizontal="center"/>
      <protection hidden="1"/>
    </xf>
    <xf numFmtId="0" fontId="3" fillId="0" borderId="0" xfId="2" applyNumberFormat="1" applyFont="1" applyFill="1" applyBorder="1" applyAlignment="1" applyProtection="1">
      <alignment horizontal="left"/>
      <protection hidden="1"/>
    </xf>
    <xf numFmtId="0" fontId="0" fillId="0" borderId="0" xfId="0" applyFill="1" applyProtection="1">
      <protection hidden="1"/>
    </xf>
    <xf numFmtId="0" fontId="7" fillId="0" borderId="0" xfId="9" applyNumberFormat="1" applyFont="1" applyBorder="1" applyAlignment="1" applyProtection="1">
      <alignment horizontal="right"/>
      <protection hidden="1"/>
    </xf>
    <xf numFmtId="0" fontId="7" fillId="0" borderId="0" xfId="9" applyNumberFormat="1" applyFont="1" applyAlignment="1" applyProtection="1">
      <alignment horizontal="right"/>
      <protection hidden="1"/>
    </xf>
    <xf numFmtId="0" fontId="8" fillId="0" borderId="0" xfId="9" applyNumberFormat="1" applyFont="1" applyBorder="1" applyAlignment="1" applyProtection="1">
      <alignment horizontal="center" vertical="center"/>
      <protection hidden="1"/>
    </xf>
    <xf numFmtId="0" fontId="8" fillId="0" borderId="0" xfId="9" applyNumberFormat="1" applyFont="1" applyBorder="1" applyAlignment="1" applyProtection="1">
      <protection hidden="1"/>
    </xf>
    <xf numFmtId="0" fontId="9" fillId="0" borderId="0" xfId="0" applyFont="1" applyBorder="1" applyProtection="1">
      <protection hidden="1"/>
    </xf>
    <xf numFmtId="0" fontId="3" fillId="0" borderId="0" xfId="5" applyNumberFormat="1" applyFont="1" applyFill="1" applyBorder="1" applyAlignment="1" applyProtection="1">
      <alignment horizontal="center"/>
      <protection hidden="1"/>
    </xf>
    <xf numFmtId="0" fontId="14" fillId="0" borderId="0" xfId="8" applyNumberFormat="1" applyFont="1" applyFill="1" applyBorder="1" applyAlignment="1" applyProtection="1">
      <alignment horizontal="center" wrapText="1"/>
      <protection hidden="1"/>
    </xf>
    <xf numFmtId="0" fontId="7" fillId="0" borderId="0" xfId="8" applyNumberFormat="1" applyFont="1" applyBorder="1" applyAlignment="1" applyProtection="1">
      <protection hidden="1"/>
    </xf>
    <xf numFmtId="0" fontId="15" fillId="0" borderId="0" xfId="8" applyFont="1" applyBorder="1" applyAlignment="1" applyProtection="1">
      <protection hidden="1"/>
    </xf>
    <xf numFmtId="0" fontId="15" fillId="0" borderId="0" xfId="8" applyNumberFormat="1" applyFont="1" applyBorder="1" applyAlignment="1" applyProtection="1">
      <alignment horizontal="center"/>
      <protection hidden="1"/>
    </xf>
    <xf numFmtId="0" fontId="7" fillId="0" borderId="0" xfId="8" applyNumberFormat="1" applyFont="1" applyBorder="1" applyAlignment="1" applyProtection="1">
      <alignment horizontal="left"/>
      <protection hidden="1"/>
    </xf>
    <xf numFmtId="0" fontId="12" fillId="0" borderId="0" xfId="8" applyNumberFormat="1" applyFont="1" applyBorder="1" applyAlignment="1" applyProtection="1">
      <protection hidden="1"/>
    </xf>
    <xf numFmtId="0" fontId="12" fillId="0" borderId="0" xfId="8" applyFont="1" applyBorder="1" applyAlignment="1" applyProtection="1">
      <protection hidden="1"/>
    </xf>
    <xf numFmtId="0" fontId="12" fillId="0" borderId="0" xfId="8" applyNumberFormat="1" applyFont="1" applyBorder="1" applyAlignment="1" applyProtection="1">
      <alignment horizontal="center"/>
      <protection hidden="1"/>
    </xf>
    <xf numFmtId="0" fontId="7" fillId="0" borderId="0" xfId="2" applyNumberFormat="1" applyFont="1" applyFill="1" applyBorder="1" applyAlignment="1" applyProtection="1">
      <alignment horizontal="right"/>
      <protection hidden="1"/>
    </xf>
    <xf numFmtId="0" fontId="8" fillId="0" borderId="0" xfId="8" applyFont="1" applyBorder="1" applyAlignment="1" applyProtection="1">
      <protection hidden="1"/>
    </xf>
    <xf numFmtId="0" fontId="7" fillId="0" borderId="0" xfId="9" applyNumberFormat="1" applyFont="1" applyFill="1" applyAlignment="1" applyProtection="1">
      <alignment horizontal="right"/>
      <protection hidden="1"/>
    </xf>
    <xf numFmtId="14" fontId="1" fillId="0" borderId="0" xfId="3" applyNumberFormat="1" applyFill="1" applyBorder="1" applyAlignment="1" applyProtection="1">
      <alignment horizontal="left"/>
      <protection hidden="1"/>
    </xf>
    <xf numFmtId="0" fontId="7" fillId="0" borderId="0" xfId="9" applyNumberFormat="1" applyFont="1" applyFill="1" applyBorder="1" applyAlignment="1" applyProtection="1">
      <alignment horizontal="center" vertical="center"/>
      <protection hidden="1"/>
    </xf>
    <xf numFmtId="14" fontId="1" fillId="0" borderId="0" xfId="3" applyNumberFormat="1" applyFill="1" applyBorder="1" applyAlignment="1" applyProtection="1">
      <alignment horizontal="center"/>
      <protection hidden="1"/>
    </xf>
    <xf numFmtId="0" fontId="9" fillId="0" borderId="0" xfId="0" applyFont="1" applyProtection="1">
      <protection hidden="1"/>
    </xf>
    <xf numFmtId="0" fontId="13" fillId="0" borderId="0" xfId="2" applyNumberFormat="1" applyFont="1" applyFill="1" applyBorder="1" applyAlignment="1" applyProtection="1">
      <alignment horizontal="left"/>
      <protection hidden="1"/>
    </xf>
    <xf numFmtId="0" fontId="14" fillId="0" borderId="0" xfId="0" applyFont="1" applyFill="1" applyProtection="1">
      <protection hidden="1"/>
    </xf>
    <xf numFmtId="0" fontId="3" fillId="0" borderId="0" xfId="0" applyFont="1" applyAlignment="1" applyProtection="1">
      <alignment horizontal="center" vertical="center"/>
      <protection hidden="1"/>
    </xf>
    <xf numFmtId="0" fontId="0" fillId="0" borderId="0" xfId="0" applyAlignment="1" applyProtection="1">
      <alignment vertical="center"/>
      <protection hidden="1"/>
    </xf>
    <xf numFmtId="0" fontId="31" fillId="9" borderId="0" xfId="10" applyFont="1" applyFill="1" applyBorder="1" applyAlignment="1" applyProtection="1">
      <alignment horizontal="right" vertical="center" wrapText="1"/>
      <protection hidden="1"/>
    </xf>
    <xf numFmtId="0" fontId="14" fillId="0" borderId="1" xfId="8" applyNumberFormat="1" applyFont="1" applyBorder="1" applyAlignment="1" applyProtection="1">
      <alignment horizontal="center" vertical="center" wrapText="1"/>
      <protection hidden="1"/>
    </xf>
    <xf numFmtId="14" fontId="0" fillId="3" borderId="1" xfId="3" applyNumberFormat="1" applyFont="1" applyBorder="1" applyAlignment="1" applyProtection="1">
      <alignment horizontal="center" vertical="center"/>
    </xf>
    <xf numFmtId="0" fontId="0" fillId="3" borderId="0" xfId="3" applyFont="1" applyAlignment="1" applyProtection="1">
      <alignment horizontal="left" vertical="center"/>
    </xf>
    <xf numFmtId="0" fontId="0" fillId="3" borderId="0" xfId="3" applyFont="1" applyAlignment="1" applyProtection="1">
      <alignment horizontal="center" vertical="center"/>
    </xf>
    <xf numFmtId="0" fontId="0" fillId="0" borderId="0" xfId="0" applyAlignment="1" applyProtection="1">
      <alignment horizontal="left" vertical="center"/>
    </xf>
    <xf numFmtId="0" fontId="0" fillId="0" borderId="0" xfId="0" applyAlignment="1" applyProtection="1">
      <alignment horizontal="center" vertical="center"/>
    </xf>
    <xf numFmtId="0" fontId="17" fillId="0" borderId="0" xfId="1" applyFont="1" applyAlignment="1" applyProtection="1">
      <alignment horizontal="center"/>
      <protection hidden="1"/>
    </xf>
    <xf numFmtId="44" fontId="14" fillId="12" borderId="5" xfId="7" applyNumberFormat="1" applyFont="1" applyFill="1" applyBorder="1" applyAlignment="1" applyProtection="1">
      <alignment vertical="center"/>
      <protection hidden="1"/>
    </xf>
    <xf numFmtId="44" fontId="14" fillId="12" borderId="0" xfId="7" applyNumberFormat="1" applyFont="1" applyFill="1" applyAlignment="1" applyProtection="1">
      <alignment vertical="center"/>
      <protection hidden="1"/>
    </xf>
    <xf numFmtId="0" fontId="5" fillId="14" borderId="4" xfId="11" applyNumberFormat="1" applyFont="1" applyFill="1" applyBorder="1" applyAlignment="1" applyProtection="1">
      <alignment horizontal="center" vertical="center" wrapText="1"/>
      <protection hidden="1"/>
    </xf>
    <xf numFmtId="0" fontId="5" fillId="14" borderId="7" xfId="11" applyNumberFormat="1" applyFont="1" applyFill="1" applyBorder="1" applyAlignment="1" applyProtection="1">
      <alignment horizontal="center" vertical="center" wrapText="1"/>
      <protection hidden="1"/>
    </xf>
    <xf numFmtId="165" fontId="5" fillId="14" borderId="7" xfId="11" applyNumberFormat="1" applyFont="1" applyFill="1" applyBorder="1" applyAlignment="1" applyProtection="1">
      <alignment horizontal="center" vertical="center" wrapText="1"/>
      <protection hidden="1"/>
    </xf>
    <xf numFmtId="0" fontId="5" fillId="14" borderId="7" xfId="11"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3" fillId="14" borderId="8" xfId="11" applyNumberFormat="1" applyFont="1" applyFill="1" applyBorder="1" applyAlignment="1" applyProtection="1">
      <alignment vertical="center"/>
      <protection hidden="1"/>
    </xf>
    <xf numFmtId="0" fontId="1" fillId="12" borderId="6" xfId="7" applyFill="1" applyBorder="1" applyAlignment="1" applyProtection="1">
      <alignment horizontal="center" vertical="center"/>
      <protection hidden="1"/>
    </xf>
    <xf numFmtId="0" fontId="0" fillId="0" borderId="0" xfId="0" applyFill="1" applyAlignment="1" applyProtection="1">
      <alignment vertical="center"/>
      <protection hidden="1"/>
    </xf>
    <xf numFmtId="0" fontId="1" fillId="12" borderId="8" xfId="7" applyFill="1" applyBorder="1" applyAlignment="1" applyProtection="1">
      <alignment horizontal="center" vertical="center"/>
      <protection hidden="1"/>
    </xf>
    <xf numFmtId="0" fontId="1" fillId="13" borderId="6" xfId="6" applyFill="1" applyBorder="1" applyAlignment="1" applyProtection="1">
      <alignment horizontal="center" vertical="center"/>
      <protection hidden="1"/>
    </xf>
    <xf numFmtId="44" fontId="29" fillId="12" borderId="10" xfId="7" applyNumberFormat="1" applyFont="1" applyFill="1" applyBorder="1" applyProtection="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44" fontId="10" fillId="12" borderId="7" xfId="7" applyNumberFormat="1" applyFont="1" applyFill="1" applyBorder="1" applyAlignment="1" applyProtection="1">
      <alignment vertical="center"/>
      <protection hidden="1"/>
    </xf>
    <xf numFmtId="0" fontId="25" fillId="0" borderId="15" xfId="0" applyFont="1" applyBorder="1" applyAlignment="1" applyProtection="1">
      <alignment vertical="center" wrapText="1"/>
      <protection hidden="1"/>
    </xf>
    <xf numFmtId="0" fontId="25" fillId="0" borderId="3" xfId="0" applyFont="1" applyBorder="1" applyAlignment="1" applyProtection="1">
      <alignment vertical="center" wrapText="1"/>
      <protection hidden="1"/>
    </xf>
    <xf numFmtId="44" fontId="25" fillId="12" borderId="8" xfId="7" applyNumberFormat="1" applyFont="1" applyFill="1" applyBorder="1" applyAlignment="1" applyProtection="1">
      <alignment vertical="center"/>
      <protection hidden="1"/>
    </xf>
    <xf numFmtId="0" fontId="25" fillId="0" borderId="5" xfId="4" applyFont="1" applyFill="1" applyBorder="1" applyAlignment="1" applyProtection="1">
      <alignment horizontal="center" vertical="center" wrapText="1"/>
      <protection hidden="1"/>
    </xf>
    <xf numFmtId="0" fontId="25" fillId="0" borderId="0" xfId="4" applyFont="1" applyFill="1" applyBorder="1" applyAlignment="1" applyProtection="1">
      <alignment horizontal="center" vertical="center" wrapText="1"/>
      <protection hidden="1"/>
    </xf>
    <xf numFmtId="0" fontId="25" fillId="0" borderId="11" xfId="0" applyFont="1" applyBorder="1" applyAlignment="1" applyProtection="1">
      <protection hidden="1"/>
    </xf>
    <xf numFmtId="0" fontId="25" fillId="0" borderId="5" xfId="0" applyFont="1" applyBorder="1" applyAlignment="1" applyProtection="1">
      <alignment vertical="center" wrapText="1"/>
      <protection hidden="1"/>
    </xf>
    <xf numFmtId="0" fontId="25" fillId="0" borderId="0" xfId="0" applyFont="1" applyBorder="1" applyAlignment="1" applyProtection="1">
      <alignment vertical="center" wrapText="1"/>
      <protection hidden="1"/>
    </xf>
    <xf numFmtId="44" fontId="25" fillId="13" borderId="6" xfId="6" applyNumberFormat="1" applyFont="1" applyFill="1" applyBorder="1" applyAlignment="1" applyProtection="1">
      <alignment vertical="center"/>
      <protection hidden="1"/>
    </xf>
    <xf numFmtId="0" fontId="25" fillId="0" borderId="11" xfId="4" applyFont="1" applyFill="1" applyBorder="1" applyAlignment="1" applyProtection="1">
      <alignment vertical="center"/>
      <protection hidden="1"/>
    </xf>
    <xf numFmtId="44" fontId="25" fillId="12" borderId="6" xfId="7" applyNumberFormat="1" applyFont="1" applyFill="1" applyBorder="1" applyAlignment="1" applyProtection="1">
      <alignment vertical="center"/>
      <protection hidden="1"/>
    </xf>
    <xf numFmtId="44" fontId="25" fillId="12" borderId="4" xfId="7" applyNumberFormat="1" applyFont="1" applyFill="1" applyBorder="1" applyAlignment="1" applyProtection="1">
      <alignment vertical="center"/>
      <protection hidden="1"/>
    </xf>
    <xf numFmtId="44" fontId="25" fillId="12" borderId="16" xfId="7" applyNumberFormat="1" applyFont="1" applyFill="1" applyBorder="1" applyAlignment="1" applyProtection="1">
      <alignment vertical="center"/>
      <protection hidden="1"/>
    </xf>
    <xf numFmtId="44" fontId="25" fillId="13" borderId="11" xfId="6" applyNumberFormat="1" applyFont="1" applyFill="1" applyBorder="1" applyAlignment="1" applyProtection="1">
      <alignment vertical="center"/>
      <protection hidden="1"/>
    </xf>
    <xf numFmtId="44" fontId="25" fillId="12" borderId="11" xfId="7" applyNumberFormat="1" applyFont="1" applyFill="1" applyBorder="1" applyAlignment="1" applyProtection="1">
      <alignment vertical="center"/>
      <protection hidden="1"/>
    </xf>
    <xf numFmtId="0" fontId="0" fillId="0" borderId="5" xfId="0" applyBorder="1" applyAlignment="1" applyProtection="1">
      <alignment horizontal="left"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0" xfId="0" applyBorder="1" applyProtection="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4" fillId="13" borderId="5" xfId="7" applyNumberFormat="1" applyFont="1" applyFill="1" applyBorder="1" applyAlignment="1" applyProtection="1">
      <alignment vertical="center"/>
      <protection hidden="1"/>
    </xf>
    <xf numFmtId="44" fontId="14" fillId="13" borderId="0" xfId="7" applyNumberFormat="1" applyFont="1" applyFill="1" applyAlignment="1" applyProtection="1">
      <alignment vertical="center"/>
      <protection hidden="1"/>
    </xf>
    <xf numFmtId="44" fontId="13" fillId="14" borderId="6" xfId="11" applyNumberFormat="1" applyFont="1" applyFill="1" applyBorder="1" applyAlignment="1" applyProtection="1">
      <alignment vertical="center"/>
      <protection hidden="1"/>
    </xf>
    <xf numFmtId="44" fontId="13" fillId="15" borderId="6" xfId="11" applyNumberFormat="1" applyFont="1" applyFill="1" applyBorder="1" applyAlignment="1" applyProtection="1">
      <alignment vertical="center"/>
      <protection hidden="1"/>
    </xf>
    <xf numFmtId="49" fontId="1" fillId="3" borderId="0" xfId="3" applyNumberFormat="1" applyAlignment="1" applyProtection="1">
      <alignment horizontal="center" vertical="center"/>
    </xf>
    <xf numFmtId="49" fontId="0" fillId="3" borderId="0" xfId="3" applyNumberFormat="1" applyFont="1" applyAlignment="1" applyProtection="1">
      <alignment horizontal="center" vertical="center"/>
    </xf>
    <xf numFmtId="49" fontId="0" fillId="0" borderId="0" xfId="0" applyNumberFormat="1" applyAlignment="1" applyProtection="1">
      <alignment horizontal="center" vertical="center"/>
    </xf>
    <xf numFmtId="0" fontId="1" fillId="12" borderId="6" xfId="6" applyFill="1" applyBorder="1" applyAlignment="1" applyProtection="1">
      <alignment horizontal="center" vertical="center"/>
      <protection hidden="1"/>
    </xf>
    <xf numFmtId="0" fontId="25" fillId="0" borderId="0" xfId="0" applyFont="1" applyAlignment="1" applyProtection="1">
      <alignment vertical="center" wrapText="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0" fillId="0" borderId="5" xfId="0" applyFill="1" applyBorder="1" applyAlignment="1" applyProtection="1">
      <alignment horizontal="left" vertical="center"/>
    </xf>
    <xf numFmtId="49" fontId="0" fillId="0" borderId="0" xfId="0" applyNumberFormat="1" applyFill="1" applyBorder="1" applyAlignment="1" applyProtection="1">
      <alignment horizontal="center" vertical="center"/>
    </xf>
    <xf numFmtId="49" fontId="0" fillId="0" borderId="0" xfId="0" applyNumberFormat="1" applyBorder="1" applyAlignment="1" applyProtection="1">
      <alignment horizontal="center" vertical="center"/>
    </xf>
    <xf numFmtId="0" fontId="0" fillId="0" borderId="0" xfId="0" applyBorder="1" applyAlignment="1" applyProtection="1">
      <alignment horizontal="center" vertical="center"/>
    </xf>
    <xf numFmtId="49" fontId="1" fillId="3" borderId="0" xfId="3" applyNumberFormat="1" applyBorder="1" applyAlignment="1" applyProtection="1">
      <alignment horizontal="center" vertical="center"/>
    </xf>
    <xf numFmtId="44" fontId="14" fillId="12" borderId="15" xfId="7" applyNumberFormat="1" applyFont="1" applyFill="1" applyBorder="1" applyAlignment="1" applyProtection="1">
      <alignment vertical="center"/>
      <protection hidden="1"/>
    </xf>
    <xf numFmtId="0" fontId="0" fillId="3" borderId="0" xfId="3" applyFont="1" applyBorder="1" applyAlignment="1" applyProtection="1">
      <alignment horizontal="center" vertical="center"/>
    </xf>
    <xf numFmtId="49" fontId="35" fillId="16" borderId="17" xfId="0" applyNumberFormat="1" applyFont="1" applyFill="1" applyBorder="1" applyAlignment="1" applyProtection="1">
      <alignment horizontal="left"/>
    </xf>
    <xf numFmtId="0" fontId="0" fillId="3" borderId="0" xfId="3" applyFont="1" applyBorder="1" applyAlignment="1" applyProtection="1">
      <alignment horizontal="left" vertical="center"/>
    </xf>
    <xf numFmtId="0" fontId="0" fillId="3" borderId="5" xfId="3" applyFont="1" applyBorder="1" applyAlignment="1" applyProtection="1">
      <alignment horizontal="left" vertical="center"/>
    </xf>
    <xf numFmtId="0" fontId="0" fillId="3" borderId="1" xfId="3" applyFont="1" applyBorder="1" applyAlignment="1" applyProtection="1">
      <alignment horizontal="center" vertical="center"/>
    </xf>
    <xf numFmtId="0" fontId="1" fillId="3" borderId="1" xfId="3" applyBorder="1" applyAlignment="1" applyProtection="1">
      <alignment horizontal="center" vertical="center"/>
    </xf>
    <xf numFmtId="0" fontId="16" fillId="0" borderId="0" xfId="1" applyNumberFormat="1" applyFont="1" applyAlignment="1" applyProtection="1">
      <alignment horizontal="center"/>
      <protection hidden="1"/>
    </xf>
    <xf numFmtId="0" fontId="3" fillId="14" borderId="9" xfId="11" applyNumberFormat="1" applyFont="1" applyFill="1" applyBorder="1" applyAlignment="1" applyProtection="1">
      <alignment horizontal="center"/>
      <protection hidden="1"/>
    </xf>
    <xf numFmtId="0" fontId="3" fillId="14" borderId="2" xfId="11" applyNumberFormat="1" applyFont="1" applyFill="1" applyBorder="1" applyAlignment="1" applyProtection="1">
      <alignment horizontal="center"/>
      <protection hidden="1"/>
    </xf>
    <xf numFmtId="0" fontId="3" fillId="14" borderId="10" xfId="11" applyNumberFormat="1" applyFont="1" applyFill="1" applyBorder="1" applyAlignment="1" applyProtection="1">
      <alignment horizontal="center"/>
      <protection hidden="1"/>
    </xf>
    <xf numFmtId="0" fontId="14" fillId="0" borderId="0" xfId="8" applyNumberFormat="1" applyFont="1" applyBorder="1" applyAlignment="1" applyProtection="1">
      <alignment horizontal="center" vertical="center" wrapText="1"/>
      <protection hidden="1"/>
    </xf>
    <xf numFmtId="14" fontId="1" fillId="3" borderId="1" xfId="3" applyNumberFormat="1" applyBorder="1" applyAlignment="1" applyProtection="1">
      <alignment horizontal="center" vertical="center"/>
    </xf>
    <xf numFmtId="0" fontId="0" fillId="3" borderId="1" xfId="3" applyNumberFormat="1" applyFont="1" applyBorder="1" applyAlignment="1" applyProtection="1">
      <alignment horizontal="center" vertical="center"/>
    </xf>
    <xf numFmtId="164" fontId="0" fillId="3" borderId="2" xfId="3" applyNumberFormat="1" applyFont="1" applyBorder="1" applyAlignment="1" applyProtection="1">
      <alignment horizontal="center" vertical="center"/>
    </xf>
    <xf numFmtId="0" fontId="17" fillId="0" borderId="0" xfId="1" applyFont="1" applyAlignment="1" applyProtection="1">
      <alignment horizontal="center"/>
      <protection hidden="1"/>
    </xf>
    <xf numFmtId="0" fontId="0" fillId="3" borderId="2" xfId="3" applyNumberFormat="1" applyFont="1" applyBorder="1" applyAlignment="1" applyProtection="1">
      <alignment horizontal="center" vertical="center"/>
    </xf>
    <xf numFmtId="0" fontId="10" fillId="12" borderId="2" xfId="7" applyFont="1" applyFill="1" applyBorder="1" applyAlignment="1" applyProtection="1">
      <alignment horizontal="center" vertical="center"/>
      <protection hidden="1"/>
    </xf>
    <xf numFmtId="0" fontId="10" fillId="12" borderId="7" xfId="7" applyNumberFormat="1" applyFont="1" applyFill="1" applyBorder="1" applyAlignment="1" applyProtection="1">
      <alignment horizontal="center" vertical="center"/>
      <protection hidden="1"/>
    </xf>
    <xf numFmtId="0" fontId="3" fillId="14" borderId="9" xfId="5" applyFont="1" applyFill="1" applyBorder="1" applyAlignment="1" applyProtection="1">
      <alignment horizontal="center"/>
      <protection hidden="1"/>
    </xf>
    <xf numFmtId="0" fontId="3" fillId="14" borderId="2" xfId="5" applyFont="1" applyFill="1" applyBorder="1" applyAlignment="1" applyProtection="1">
      <alignment horizontal="center"/>
      <protection hidden="1"/>
    </xf>
    <xf numFmtId="0" fontId="3" fillId="14" borderId="10" xfId="5" applyFont="1" applyFill="1" applyBorder="1" applyAlignment="1" applyProtection="1">
      <alignment horizontal="center"/>
      <protection hidden="1"/>
    </xf>
    <xf numFmtId="0" fontId="28" fillId="14" borderId="9" xfId="5" applyFont="1" applyFill="1" applyBorder="1" applyAlignment="1" applyProtection="1">
      <alignment horizontal="center" vertical="center"/>
      <protection hidden="1"/>
    </xf>
    <xf numFmtId="0" fontId="28" fillId="14" borderId="2" xfId="5" applyFont="1" applyFill="1" applyBorder="1" applyAlignment="1" applyProtection="1">
      <alignment horizontal="center" vertical="center"/>
      <protection hidden="1"/>
    </xf>
    <xf numFmtId="0" fontId="28" fillId="14" borderId="10" xfId="5" applyFont="1" applyFill="1" applyBorder="1" applyAlignment="1" applyProtection="1">
      <alignment horizontal="center" vertical="center"/>
      <protection hidden="1"/>
    </xf>
    <xf numFmtId="0" fontId="33" fillId="10" borderId="15" xfId="4" applyFont="1" applyFill="1" applyBorder="1" applyAlignment="1" applyProtection="1">
      <alignment horizontal="center" vertical="center" wrapText="1"/>
      <protection hidden="1"/>
    </xf>
    <xf numFmtId="0" fontId="33" fillId="10" borderId="3" xfId="4" applyFont="1" applyFill="1" applyBorder="1" applyAlignment="1" applyProtection="1">
      <alignment horizontal="center" vertical="center" wrapText="1"/>
      <protection hidden="1"/>
    </xf>
    <xf numFmtId="0" fontId="33" fillId="10" borderId="16" xfId="4" applyFont="1" applyFill="1" applyBorder="1" applyAlignment="1" applyProtection="1">
      <alignment horizontal="center" vertical="center" wrapText="1"/>
      <protection hidden="1"/>
    </xf>
    <xf numFmtId="0" fontId="33" fillId="10" borderId="12" xfId="4" applyFont="1" applyFill="1" applyBorder="1" applyAlignment="1" applyProtection="1">
      <alignment horizontal="center" vertical="center" wrapText="1"/>
      <protection hidden="1"/>
    </xf>
    <xf numFmtId="0" fontId="33" fillId="10" borderId="1" xfId="4" applyFont="1" applyFill="1" applyBorder="1" applyAlignment="1" applyProtection="1">
      <alignment horizontal="center" vertical="center" wrapText="1"/>
      <protection hidden="1"/>
    </xf>
    <xf numFmtId="0" fontId="33" fillId="10" borderId="14" xfId="4" applyFont="1" applyFill="1" applyBorder="1" applyAlignment="1" applyProtection="1">
      <alignment horizontal="center" vertical="center" wrapText="1"/>
      <protection hidden="1"/>
    </xf>
    <xf numFmtId="0" fontId="29" fillId="12" borderId="9" xfId="7" applyFont="1" applyFill="1" applyBorder="1" applyAlignment="1" applyProtection="1">
      <alignment horizontal="right"/>
      <protection hidden="1"/>
    </xf>
    <xf numFmtId="0" fontId="29" fillId="12" borderId="2" xfId="7" applyFont="1" applyFill="1" applyBorder="1" applyAlignment="1" applyProtection="1">
      <alignment horizontal="right"/>
      <protection hidden="1"/>
    </xf>
    <xf numFmtId="0" fontId="26" fillId="0" borderId="7" xfId="4" applyFont="1" applyFill="1" applyBorder="1" applyAlignment="1" applyProtection="1">
      <alignment horizontal="center" vertical="center" wrapText="1"/>
      <protection hidden="1"/>
    </xf>
    <xf numFmtId="0" fontId="25" fillId="0" borderId="7" xfId="4" applyFont="1" applyFill="1" applyBorder="1" applyAlignment="1" applyProtection="1">
      <alignment horizontal="left" vertical="top" wrapText="1"/>
      <protection hidden="1"/>
    </xf>
    <xf numFmtId="0" fontId="28" fillId="14" borderId="7" xfId="5" applyFont="1" applyFill="1" applyBorder="1" applyAlignment="1" applyProtection="1">
      <alignment horizontal="center" vertical="center"/>
      <protection hidden="1"/>
    </xf>
    <xf numFmtId="0" fontId="25" fillId="0" borderId="1" xfId="3" applyFont="1" applyFill="1" applyBorder="1" applyAlignment="1" applyProtection="1">
      <alignment horizontal="center" vertical="center"/>
      <protection hidden="1"/>
    </xf>
    <xf numFmtId="1" fontId="25" fillId="0" borderId="2" xfId="3" applyNumberFormat="1" applyFont="1" applyFill="1" applyBorder="1" applyAlignment="1" applyProtection="1">
      <alignment horizontal="center" vertical="center"/>
      <protection hidden="1"/>
    </xf>
    <xf numFmtId="0" fontId="24" fillId="0" borderId="3" xfId="0" applyFont="1" applyBorder="1" applyAlignment="1" applyProtection="1">
      <alignment horizontal="center" vertical="center"/>
      <protection hidden="1"/>
    </xf>
    <xf numFmtId="0" fontId="34" fillId="0" borderId="0" xfId="5" applyFont="1" applyFill="1" applyBorder="1" applyAlignment="1" applyProtection="1">
      <alignment horizontal="right" wrapText="1"/>
      <protection hidden="1"/>
    </xf>
    <xf numFmtId="0" fontId="22" fillId="0" borderId="0" xfId="10" applyFont="1" applyFill="1" applyBorder="1" applyAlignment="1" applyProtection="1">
      <alignment horizontal="right" vertical="center" wrapText="1"/>
      <protection hidden="1"/>
    </xf>
    <xf numFmtId="0" fontId="18" fillId="0" borderId="0" xfId="10" applyFont="1" applyFill="1" applyBorder="1" applyAlignment="1" applyProtection="1">
      <alignment horizontal="left" wrapText="1"/>
      <protection hidden="1"/>
    </xf>
    <xf numFmtId="0" fontId="32" fillId="14" borderId="7" xfId="5" applyFont="1" applyFill="1" applyBorder="1" applyAlignment="1" applyProtection="1">
      <alignment horizontal="center" vertical="center"/>
      <protection hidden="1"/>
    </xf>
    <xf numFmtId="0" fontId="18" fillId="9" borderId="0" xfId="10" applyFont="1" applyFill="1" applyBorder="1" applyAlignment="1" applyProtection="1">
      <alignment horizontal="center" vertical="center" wrapText="1"/>
      <protection hidden="1"/>
    </xf>
    <xf numFmtId="0" fontId="25" fillId="3" borderId="1" xfId="3" applyFont="1" applyBorder="1" applyAlignment="1" applyProtection="1">
      <alignment horizontal="center" vertical="center"/>
      <protection hidden="1"/>
    </xf>
    <xf numFmtId="0" fontId="33" fillId="10" borderId="9" xfId="4" applyFont="1" applyFill="1" applyBorder="1" applyAlignment="1" applyProtection="1">
      <alignment horizontal="center" vertical="center"/>
      <protection hidden="1"/>
    </xf>
    <xf numFmtId="0" fontId="33" fillId="10" borderId="2" xfId="4" applyFont="1" applyFill="1" applyBorder="1" applyAlignment="1" applyProtection="1">
      <alignment horizontal="center" vertical="center"/>
      <protection hidden="1"/>
    </xf>
    <xf numFmtId="0" fontId="33" fillId="10" borderId="10" xfId="4" applyFont="1" applyFill="1" applyBorder="1" applyAlignment="1" applyProtection="1">
      <alignment horizontal="center" vertical="center"/>
      <protection hidden="1"/>
    </xf>
  </cellXfs>
  <cellStyles count="12">
    <cellStyle name="20% - Accent3" xfId="3" builtinId="38"/>
    <cellStyle name="20% - Accent6" xfId="6" builtinId="50"/>
    <cellStyle name="40% - Accent3" xfId="4" builtinId="39"/>
    <cellStyle name="40% - Accent6" xfId="7" builtinId="51"/>
    <cellStyle name="Accent3" xfId="2" builtinId="37"/>
    <cellStyle name="Accent5" xfId="11" builtinId="45"/>
    <cellStyle name="Accent6" xfId="5" builtinId="49"/>
    <cellStyle name="Normal" xfId="0" builtinId="0"/>
    <cellStyle name="Normal 2" xfId="9"/>
    <cellStyle name="Normal 3" xfId="8"/>
    <cellStyle name="Normal 4" xfId="10"/>
    <cellStyle name="Title" xfId="1" builtinId="15"/>
  </cellStyles>
  <dxfs count="6417">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b/>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top/>
        <bottom/>
        <vertical/>
        <horizontal/>
      </border>
      <protection locked="1" hidden="1"/>
    </dxf>
    <dxf>
      <alignment horizontal="center" vertical="center" textRotation="0" wrapText="0" indent="0" justifyLastLine="0" shrinkToFit="0" readingOrder="0"/>
      <protection locked="1" hidden="0"/>
    </dxf>
    <dxf>
      <alignment horizontal="left" vertical="center" textRotation="0" wrapText="0" indent="0" justifyLastLine="0" shrinkToFit="0" readingOrder="0"/>
      <protection locked="1" hidden="0"/>
    </dxf>
    <dxf>
      <numFmt numFmtId="30" formatCode="@"/>
      <alignment horizontal="center" vertical="center" textRotation="0" wrapText="0" indent="0" justifyLastLine="0" shrinkToFit="0" readingOrder="0"/>
      <protection locked="1" hidden="0"/>
    </dxf>
    <dxf>
      <alignment horizontal="left" vertical="center" textRotation="0" wrapText="0" indent="0" justifyLastLine="0" shrinkToFit="0" readingOrder="0"/>
      <border outline="0">
        <left style="thin">
          <color indexed="64"/>
        </left>
        <right/>
      </border>
      <protection locked="1" hidden="0"/>
    </dxf>
    <dxf>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1"/>
    </dxf>
    <dxf>
      <alignment horizontal="general" vertical="center" textRotation="0" wrapText="0" indent="0" justifyLastLine="0" shrinkToFit="0" readingOrder="0"/>
      <protection locked="1" hidden="1"/>
    </dxf>
    <dxf>
      <border>
        <bottom style="thin">
          <color indexed="64"/>
        </bottom>
      </border>
    </dxf>
    <dxf>
      <font>
        <strike val="0"/>
        <outline val="0"/>
        <shadow val="0"/>
        <u val="none"/>
        <vertAlign val="baseline"/>
        <sz val="11"/>
        <color theme="0"/>
        <name val="Calibri"/>
        <scheme val="minor"/>
      </font>
      <fill>
        <patternFill patternType="solid">
          <fgColor indexed="64"/>
          <bgColor rgb="FFA566E4"/>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E6D4F8"/>
      <color rgb="FFF3EAFC"/>
      <color rgb="FFA566E4"/>
      <color rgb="FFE0CAF6"/>
      <color rgb="FF9B55E1"/>
      <color rgb="FFD9BEF4"/>
      <color rgb="FFCFADF1"/>
      <color rgb="FF0594FF"/>
      <color rgb="FF601DA3"/>
      <color rgb="FFE1DE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716280</xdr:colOff>
          <xdr:row>25</xdr:row>
          <xdr:rowOff>114300</xdr:rowOff>
        </xdr:from>
        <xdr:to>
          <xdr:col>9</xdr:col>
          <xdr:colOff>106680</xdr:colOff>
          <xdr:row>27</xdr:row>
          <xdr:rowOff>30480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716280</xdr:colOff>
          <xdr:row>26</xdr:row>
          <xdr:rowOff>190500</xdr:rowOff>
        </xdr:from>
        <xdr:to>
          <xdr:col>9</xdr:col>
          <xdr:colOff>106680</xdr:colOff>
          <xdr:row>28</xdr:row>
          <xdr:rowOff>30480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editAs="oneCell">
    <xdr:from>
      <xdr:col>12</xdr:col>
      <xdr:colOff>571499</xdr:colOff>
      <xdr:row>1</xdr:row>
      <xdr:rowOff>47626</xdr:rowOff>
    </xdr:from>
    <xdr:to>
      <xdr:col>13</xdr:col>
      <xdr:colOff>1174781</xdr:colOff>
      <xdr:row>3</xdr:row>
      <xdr:rowOff>49519</xdr:rowOff>
    </xdr:to>
    <xdr:pic>
      <xdr:nvPicPr>
        <xdr:cNvPr id="4" name="Picture 3"/>
        <xdr:cNvPicPr>
          <a:picLocks noChangeAspect="1"/>
        </xdr:cNvPicPr>
      </xdr:nvPicPr>
      <xdr:blipFill rotWithShape="1">
        <a:blip xmlns:r="http://schemas.openxmlformats.org/officeDocument/2006/relationships" r:embed="rId1"/>
        <a:srcRect r="71095" b="50481"/>
        <a:stretch/>
      </xdr:blipFill>
      <xdr:spPr>
        <a:xfrm>
          <a:off x="14276293" y="182097"/>
          <a:ext cx="1589400" cy="607010"/>
        </a:xfrm>
        <a:prstGeom prst="rect">
          <a:avLst/>
        </a:prstGeom>
      </xdr:spPr>
    </xdr:pic>
    <xdr:clientData/>
  </xdr:twoCellAnchor>
</xdr:wsDr>
</file>

<file path=xl/tables/table1.xml><?xml version="1.0" encoding="utf-8"?>
<table xmlns="http://schemas.openxmlformats.org/spreadsheetml/2006/main" id="1" name="Summary_Sheet" displayName="Summary_Sheet" ref="A32:N132" totalsRowShown="0" headerRowDxfId="6416" dataDxfId="6414" headerRowBorderDxfId="6415" headerRowCellStyle="Accent5">
  <autoFilter ref="A32:N132"/>
  <tableColumns count="14">
    <tableColumn id="11" name="Property #" dataDxfId="6413" dataCellStyle="20% - Accent6"/>
    <tableColumn id="1" name="Property Address" dataDxfId="6412"/>
    <tableColumn id="2" name="Pin #" dataDxfId="6411"/>
    <tableColumn id="3" name="City/Town" dataDxfId="6410"/>
    <tableColumn id="4" name="Zip + 4" dataDxfId="6409"/>
    <tableColumn id="5" name="Cutting grass/ neglected weeds" dataDxfId="6408" dataCellStyle="40% - Accent6"/>
    <tableColumn id="6" name="Tree or bush trimming and removal" dataDxfId="6407" dataCellStyle="40% - Accent6"/>
    <tableColumn id="7" name="Pest extermination/ prevention" dataDxfId="6406" dataCellStyle="40% - Accent6"/>
    <tableColumn id="12" name="Garbage/ debris/graffiti removal" dataDxfId="6405" dataCellStyle="20% - Accent6"/>
    <tableColumn id="14" name="Boarding/ closing off/ locking windows or entrances" dataDxfId="6404" dataCellStyle="20% - Accent6"/>
    <tableColumn id="17" name="Surrounding property with a fence/ wall" dataDxfId="6403" dataCellStyle="20% - Accent6"/>
    <tableColumn id="16" name="Demolition" dataDxfId="6402" dataCellStyle="20% - Accent6"/>
    <tableColumn id="13" name="Rehabilitation" dataDxfId="6401" dataCellStyle="20% - Accent6"/>
    <tableColumn id="10" name="Total Requested              Loan Amount" dataDxfId="6400">
      <calculatedColumnFormula>SUM(Summary_Sheet[[#This Row],[Cutting grass/ neglected weeds]:[Rehabilitation]])</calculatedColumnFormula>
    </tableColumn>
  </tableColumns>
  <tableStyleInfo name="TableStyleMedium21" showFirstColumn="0" showLastColumn="0" showRowStripes="1" showColumnStripes="0"/>
</table>
</file>

<file path=xl/tables/table10.xml><?xml version="1.0" encoding="utf-8"?>
<table xmlns="http://schemas.openxmlformats.org/spreadsheetml/2006/main" id="75" name="Grass_2" displayName="Grass_2" ref="A11:D26" totalsRowShown="0" headerRowDxfId="6335" dataDxfId="6333" headerRowBorderDxfId="6334" tableBorderDxfId="6332" headerRowCellStyle="40% - Accent6">
  <autoFilter ref="A11:D26"/>
  <tableColumns count="4">
    <tableColumn id="1" name="Expense" dataDxfId="6331"/>
    <tableColumn id="2" name="Description" dataDxfId="6330"/>
    <tableColumn id="4" name="Label Name" dataDxfId="6329"/>
    <tableColumn id="5" name="Amount" dataDxfId="6328" dataCellStyle="20% - Accent6"/>
  </tableColumns>
  <tableStyleInfo name="TableStyleLight18" showFirstColumn="0" showLastColumn="0" showRowStripes="1" showColumnStripes="0"/>
</table>
</file>

<file path=xl/tables/table100.xml><?xml version="1.0" encoding="utf-8"?>
<table xmlns="http://schemas.openxmlformats.org/spreadsheetml/2006/main" id="23" name="Pest_13" displayName="Pest_13" ref="A49:D64" totalsRowShown="0" headerRowDxfId="5615" dataDxfId="5613" headerRowBorderDxfId="5614" tableBorderDxfId="5612" headerRowCellStyle="40% - Accent6">
  <autoFilter ref="A49:D64"/>
  <tableColumns count="4">
    <tableColumn id="1" name="Expense" dataDxfId="5611"/>
    <tableColumn id="2" name="Description" dataDxfId="5610"/>
    <tableColumn id="4" name="Label Name" dataDxfId="5609"/>
    <tableColumn id="5" name="Amount" dataDxfId="5608" dataCellStyle="40% - Accent6"/>
  </tableColumns>
  <tableStyleInfo name="TableStyleLight18" showFirstColumn="0" showLastColumn="0" showRowStripes="1" showColumnStripes="0"/>
</table>
</file>

<file path=xl/tables/table101.xml><?xml version="1.0" encoding="utf-8"?>
<table xmlns="http://schemas.openxmlformats.org/spreadsheetml/2006/main" id="24" name="Garbage_13" displayName="Garbage_13" ref="A68:D83" totalsRowShown="0" headerRowDxfId="5607" dataDxfId="5605" headerRowBorderDxfId="5606" tableBorderDxfId="5604" headerRowCellStyle="40% - Accent6">
  <autoFilter ref="A68:D83"/>
  <tableColumns count="4">
    <tableColumn id="1" name="Expense" dataDxfId="5603"/>
    <tableColumn id="2" name="Description" dataDxfId="5602"/>
    <tableColumn id="4" name="Label Name" dataDxfId="5601"/>
    <tableColumn id="5" name="Amount" dataDxfId="5600" dataCellStyle="20% - Accent6"/>
  </tableColumns>
  <tableStyleInfo name="TableStyleLight18" showFirstColumn="0" showLastColumn="0" showRowStripes="1" showColumnStripes="0"/>
</table>
</file>

<file path=xl/tables/table102.xml><?xml version="1.0" encoding="utf-8"?>
<table xmlns="http://schemas.openxmlformats.org/spreadsheetml/2006/main" id="25" name="Boarding_13" displayName="Boarding_13" ref="A87:D102" totalsRowShown="0" headerRowDxfId="5599" dataDxfId="5597" headerRowBorderDxfId="5598" tableBorderDxfId="5596" headerRowCellStyle="40% - Accent6">
  <autoFilter ref="A87:D102"/>
  <tableColumns count="4">
    <tableColumn id="1" name="Expense" dataDxfId="5595"/>
    <tableColumn id="2" name="Description" dataDxfId="5594"/>
    <tableColumn id="4" name="Label Name" dataDxfId="5593"/>
    <tableColumn id="5" name="Amount" dataDxfId="5592" dataCellStyle="40% - Accent6"/>
  </tableColumns>
  <tableStyleInfo name="TableStyleLight18" showFirstColumn="0" showLastColumn="0" showRowStripes="1" showColumnStripes="0"/>
</table>
</file>

<file path=xl/tables/table103.xml><?xml version="1.0" encoding="utf-8"?>
<table xmlns="http://schemas.openxmlformats.org/spreadsheetml/2006/main" id="26" name="Fence_13" displayName="Fence_13" ref="A106:D121" totalsRowShown="0" headerRowDxfId="5591" dataDxfId="5589" headerRowBorderDxfId="5590" tableBorderDxfId="5588" headerRowCellStyle="40% - Accent6">
  <autoFilter ref="A106:D121"/>
  <tableColumns count="4">
    <tableColumn id="1" name="Expense" dataDxfId="5587"/>
    <tableColumn id="2" name="Description" dataDxfId="5586"/>
    <tableColumn id="4" name="Label Name" dataDxfId="5585"/>
    <tableColumn id="5" name="Amount" dataDxfId="5584" dataCellStyle="40% - Accent6"/>
  </tableColumns>
  <tableStyleInfo name="TableStyleLight18" showFirstColumn="0" showLastColumn="0" showRowStripes="1" showColumnStripes="0"/>
</table>
</file>

<file path=xl/tables/table104.xml><?xml version="1.0" encoding="utf-8"?>
<table xmlns="http://schemas.openxmlformats.org/spreadsheetml/2006/main" id="27" name="Demolition_13" displayName="Demolition_13" ref="A125:D140" totalsRowShown="0" headerRowDxfId="5583" dataDxfId="5581" headerRowBorderDxfId="5582" tableBorderDxfId="5580" headerRowCellStyle="40% - Accent6">
  <autoFilter ref="A125:D140"/>
  <tableColumns count="4">
    <tableColumn id="1" name="Expense" dataDxfId="5579"/>
    <tableColumn id="2" name="Description" dataDxfId="5578"/>
    <tableColumn id="4" name="Label Name" dataDxfId="5577"/>
    <tableColumn id="5" name="Amount" dataDxfId="5576" dataCellStyle="40% - Accent6"/>
  </tableColumns>
  <tableStyleInfo name="TableStyleLight18" showFirstColumn="0" showLastColumn="0" showRowStripes="1" showColumnStripes="0"/>
</table>
</file>

<file path=xl/tables/table105.xml><?xml version="1.0" encoding="utf-8"?>
<table xmlns="http://schemas.openxmlformats.org/spreadsheetml/2006/main" id="28" name="Rehab_13" displayName="Rehab_13" ref="A144:D159" totalsRowShown="0" headerRowDxfId="5575" dataDxfId="5573" headerRowBorderDxfId="5574" tableBorderDxfId="5572" headerRowCellStyle="40% - Accent6">
  <autoFilter ref="A144:D159"/>
  <tableColumns count="4">
    <tableColumn id="1" name="Expense" dataDxfId="5571"/>
    <tableColumn id="2" name="Description" dataDxfId="5570"/>
    <tableColumn id="4" name="Label Name" dataDxfId="5569"/>
    <tableColumn id="5" name="Amount" dataDxfId="5568" dataCellStyle="40% - Accent6"/>
  </tableColumns>
  <tableStyleInfo name="TableStyleLight18" showFirstColumn="0" showLastColumn="0" showRowStripes="1" showColumnStripes="0"/>
</table>
</file>

<file path=xl/tables/table106.xml><?xml version="1.0" encoding="utf-8"?>
<table xmlns="http://schemas.openxmlformats.org/spreadsheetml/2006/main" id="29" name="Grass_14" displayName="Grass_14" ref="A11:D26" totalsRowShown="0" headerRowDxfId="5567" dataDxfId="5565" headerRowBorderDxfId="5566" tableBorderDxfId="5564" headerRowCellStyle="40% - Accent6">
  <autoFilter ref="A11:D26"/>
  <tableColumns count="4">
    <tableColumn id="1" name="Expense" dataDxfId="5563"/>
    <tableColumn id="2" name="Description" dataDxfId="5562"/>
    <tableColumn id="4" name="Label Name" dataDxfId="5561"/>
    <tableColumn id="5" name="Amount" dataDxfId="5560" dataCellStyle="20% - Accent6"/>
  </tableColumns>
  <tableStyleInfo name="TableStyleLight18" showFirstColumn="0" showLastColumn="0" showRowStripes="1" showColumnStripes="0"/>
</table>
</file>

<file path=xl/tables/table107.xml><?xml version="1.0" encoding="utf-8"?>
<table xmlns="http://schemas.openxmlformats.org/spreadsheetml/2006/main" id="30" name="Tree_14" displayName="Tree_14" ref="A30:D45" totalsRowShown="0" headerRowDxfId="5559" dataDxfId="5557" headerRowBorderDxfId="5558" tableBorderDxfId="5556" headerRowCellStyle="40% - Accent6">
  <autoFilter ref="A30:D45"/>
  <tableColumns count="4">
    <tableColumn id="1" name="Expense" dataDxfId="5555"/>
    <tableColumn id="2" name="Description" dataDxfId="5554"/>
    <tableColumn id="4" name="Label Name" dataDxfId="5553"/>
    <tableColumn id="5" name="Amount" dataDxfId="5552" dataCellStyle="40% - Accent6"/>
  </tableColumns>
  <tableStyleInfo name="TableStyleLight18" showFirstColumn="0" showLastColumn="0" showRowStripes="1" showColumnStripes="0"/>
</table>
</file>

<file path=xl/tables/table108.xml><?xml version="1.0" encoding="utf-8"?>
<table xmlns="http://schemas.openxmlformats.org/spreadsheetml/2006/main" id="31" name="Pest_14" displayName="Pest_14" ref="A49:D64" totalsRowShown="0" headerRowDxfId="5551" dataDxfId="5549" headerRowBorderDxfId="5550" tableBorderDxfId="5548" headerRowCellStyle="40% - Accent6">
  <autoFilter ref="A49:D64"/>
  <tableColumns count="4">
    <tableColumn id="1" name="Expense" dataDxfId="5547"/>
    <tableColumn id="2" name="Description" dataDxfId="5546"/>
    <tableColumn id="4" name="Label Name" dataDxfId="5545"/>
    <tableColumn id="5" name="Amount" dataDxfId="5544" dataCellStyle="40% - Accent6"/>
  </tableColumns>
  <tableStyleInfo name="TableStyleLight18" showFirstColumn="0" showLastColumn="0" showRowStripes="1" showColumnStripes="0"/>
</table>
</file>

<file path=xl/tables/table109.xml><?xml version="1.0" encoding="utf-8"?>
<table xmlns="http://schemas.openxmlformats.org/spreadsheetml/2006/main" id="32" name="Garbage_14" displayName="Garbage_14" ref="A68:D83" totalsRowShown="0" headerRowDxfId="5543" dataDxfId="5541" headerRowBorderDxfId="5542" tableBorderDxfId="5540" headerRowCellStyle="40% - Accent6">
  <autoFilter ref="A68:D83"/>
  <tableColumns count="4">
    <tableColumn id="1" name="Expense" dataDxfId="5539"/>
    <tableColumn id="2" name="Description" dataDxfId="5538"/>
    <tableColumn id="4" name="Label Name" dataDxfId="5537"/>
    <tableColumn id="5" name="Amount" dataDxfId="5536" dataCellStyle="20% - Accent6"/>
  </tableColumns>
  <tableStyleInfo name="TableStyleLight18" showFirstColumn="0" showLastColumn="0" showRowStripes="1" showColumnStripes="0"/>
</table>
</file>

<file path=xl/tables/table11.xml><?xml version="1.0" encoding="utf-8"?>
<table xmlns="http://schemas.openxmlformats.org/spreadsheetml/2006/main" id="76" name="Tree_2" displayName="Tree_2" ref="A30:D45" totalsRowShown="0" headerRowDxfId="6327" dataDxfId="6325" headerRowBorderDxfId="6326" tableBorderDxfId="6324" headerRowCellStyle="40% - Accent6">
  <autoFilter ref="A30:D45"/>
  <tableColumns count="4">
    <tableColumn id="1" name="Expense" dataDxfId="6323"/>
    <tableColumn id="2" name="Description" dataDxfId="6322"/>
    <tableColumn id="4" name="Label Name" dataDxfId="6321"/>
    <tableColumn id="5" name="Amount" dataDxfId="6320" dataCellStyle="40% - Accent6"/>
  </tableColumns>
  <tableStyleInfo name="TableStyleLight18" showFirstColumn="0" showLastColumn="0" showRowStripes="1" showColumnStripes="0"/>
</table>
</file>

<file path=xl/tables/table110.xml><?xml version="1.0" encoding="utf-8"?>
<table xmlns="http://schemas.openxmlformats.org/spreadsheetml/2006/main" id="33" name="Boarding_14" displayName="Boarding_14" ref="A87:D102" totalsRowShown="0" headerRowDxfId="5535" dataDxfId="5533" headerRowBorderDxfId="5534" tableBorderDxfId="5532" headerRowCellStyle="40% - Accent6">
  <autoFilter ref="A87:D102"/>
  <tableColumns count="4">
    <tableColumn id="1" name="Expense" dataDxfId="5531"/>
    <tableColumn id="2" name="Description" dataDxfId="5530"/>
    <tableColumn id="4" name="Label Name" dataDxfId="5529"/>
    <tableColumn id="5" name="Amount" dataDxfId="5528" dataCellStyle="40% - Accent6"/>
  </tableColumns>
  <tableStyleInfo name="TableStyleLight18" showFirstColumn="0" showLastColumn="0" showRowStripes="1" showColumnStripes="0"/>
</table>
</file>

<file path=xl/tables/table111.xml><?xml version="1.0" encoding="utf-8"?>
<table xmlns="http://schemas.openxmlformats.org/spreadsheetml/2006/main" id="34" name="Fence_14" displayName="Fence_14" ref="A106:D121" totalsRowShown="0" headerRowDxfId="5527" dataDxfId="5525" headerRowBorderDxfId="5526" tableBorderDxfId="5524" headerRowCellStyle="40% - Accent6">
  <autoFilter ref="A106:D121"/>
  <tableColumns count="4">
    <tableColumn id="1" name="Expense" dataDxfId="5523"/>
    <tableColumn id="2" name="Description" dataDxfId="5522"/>
    <tableColumn id="4" name="Label Name" dataDxfId="5521"/>
    <tableColumn id="5" name="Amount" dataDxfId="5520" dataCellStyle="40% - Accent6"/>
  </tableColumns>
  <tableStyleInfo name="TableStyleLight18" showFirstColumn="0" showLastColumn="0" showRowStripes="1" showColumnStripes="0"/>
</table>
</file>

<file path=xl/tables/table112.xml><?xml version="1.0" encoding="utf-8"?>
<table xmlns="http://schemas.openxmlformats.org/spreadsheetml/2006/main" id="35" name="Demolition_14" displayName="Demolition_14" ref="A125:D140" totalsRowShown="0" headerRowDxfId="5519" dataDxfId="5517" headerRowBorderDxfId="5518" tableBorderDxfId="5516" headerRowCellStyle="40% - Accent6">
  <autoFilter ref="A125:D140"/>
  <tableColumns count="4">
    <tableColumn id="1" name="Expense" dataDxfId="5515"/>
    <tableColumn id="2" name="Description" dataDxfId="5514"/>
    <tableColumn id="4" name="Label Name" dataDxfId="5513"/>
    <tableColumn id="5" name="Amount" dataDxfId="5512" dataCellStyle="40% - Accent6"/>
  </tableColumns>
  <tableStyleInfo name="TableStyleLight18" showFirstColumn="0" showLastColumn="0" showRowStripes="1" showColumnStripes="0"/>
</table>
</file>

<file path=xl/tables/table113.xml><?xml version="1.0" encoding="utf-8"?>
<table xmlns="http://schemas.openxmlformats.org/spreadsheetml/2006/main" id="36" name="Rehab_14" displayName="Rehab_14" ref="A144:D159" totalsRowShown="0" headerRowDxfId="5511" dataDxfId="5509" headerRowBorderDxfId="5510" tableBorderDxfId="5508" headerRowCellStyle="40% - Accent6">
  <autoFilter ref="A144:D159"/>
  <tableColumns count="4">
    <tableColumn id="1" name="Expense" dataDxfId="5507"/>
    <tableColumn id="2" name="Description" dataDxfId="5506"/>
    <tableColumn id="4" name="Label Name" dataDxfId="5505"/>
    <tableColumn id="5" name="Amount" dataDxfId="5504" dataCellStyle="40% - Accent6"/>
  </tableColumns>
  <tableStyleInfo name="TableStyleLight18" showFirstColumn="0" showLastColumn="0" showRowStripes="1" showColumnStripes="0"/>
</table>
</file>

<file path=xl/tables/table114.xml><?xml version="1.0" encoding="utf-8"?>
<table xmlns="http://schemas.openxmlformats.org/spreadsheetml/2006/main" id="37" name="Grass_15" displayName="Grass_15" ref="A11:D26" totalsRowShown="0" headerRowDxfId="5503" dataDxfId="5501" headerRowBorderDxfId="5502" tableBorderDxfId="5500" headerRowCellStyle="40% - Accent6">
  <autoFilter ref="A11:D26"/>
  <tableColumns count="4">
    <tableColumn id="1" name="Expense" dataDxfId="5499"/>
    <tableColumn id="2" name="Description" dataDxfId="5498"/>
    <tableColumn id="4" name="Label Name" dataDxfId="5497"/>
    <tableColumn id="5" name="Amount" dataDxfId="5496" dataCellStyle="20% - Accent6"/>
  </tableColumns>
  <tableStyleInfo name="TableStyleLight18" showFirstColumn="0" showLastColumn="0" showRowStripes="1" showColumnStripes="0"/>
</table>
</file>

<file path=xl/tables/table115.xml><?xml version="1.0" encoding="utf-8"?>
<table xmlns="http://schemas.openxmlformats.org/spreadsheetml/2006/main" id="38" name="Tree_15" displayName="Tree_15" ref="A30:D45" totalsRowShown="0" headerRowDxfId="5495" dataDxfId="5493" headerRowBorderDxfId="5494" tableBorderDxfId="5492" headerRowCellStyle="40% - Accent6">
  <autoFilter ref="A30:D45"/>
  <tableColumns count="4">
    <tableColumn id="1" name="Expense" dataDxfId="5491"/>
    <tableColumn id="2" name="Description" dataDxfId="5490"/>
    <tableColumn id="4" name="Label Name" dataDxfId="5489"/>
    <tableColumn id="5" name="Amount" dataDxfId="5488" dataCellStyle="40% - Accent6"/>
  </tableColumns>
  <tableStyleInfo name="TableStyleLight18" showFirstColumn="0" showLastColumn="0" showRowStripes="1" showColumnStripes="0"/>
</table>
</file>

<file path=xl/tables/table116.xml><?xml version="1.0" encoding="utf-8"?>
<table xmlns="http://schemas.openxmlformats.org/spreadsheetml/2006/main" id="39" name="Pest_15" displayName="Pest_15" ref="A49:D64" totalsRowShown="0" headerRowDxfId="5487" dataDxfId="5485" headerRowBorderDxfId="5486" tableBorderDxfId="5484" headerRowCellStyle="40% - Accent6">
  <autoFilter ref="A49:D64"/>
  <tableColumns count="4">
    <tableColumn id="1" name="Expense" dataDxfId="5483"/>
    <tableColumn id="2" name="Description" dataDxfId="5482"/>
    <tableColumn id="4" name="Label Name" dataDxfId="5481"/>
    <tableColumn id="5" name="Amount" dataDxfId="5480" dataCellStyle="40% - Accent6"/>
  </tableColumns>
  <tableStyleInfo name="TableStyleLight18" showFirstColumn="0" showLastColumn="0" showRowStripes="1" showColumnStripes="0"/>
</table>
</file>

<file path=xl/tables/table117.xml><?xml version="1.0" encoding="utf-8"?>
<table xmlns="http://schemas.openxmlformats.org/spreadsheetml/2006/main" id="40" name="Garbage_15" displayName="Garbage_15" ref="A68:D83" totalsRowShown="0" headerRowDxfId="5479" dataDxfId="5477" headerRowBorderDxfId="5478" tableBorderDxfId="5476" headerRowCellStyle="40% - Accent6">
  <autoFilter ref="A68:D83"/>
  <tableColumns count="4">
    <tableColumn id="1" name="Expense" dataDxfId="5475"/>
    <tableColumn id="2" name="Description" dataDxfId="5474"/>
    <tableColumn id="4" name="Label Name" dataDxfId="5473"/>
    <tableColumn id="5" name="Amount" dataDxfId="5472" dataCellStyle="20% - Accent6"/>
  </tableColumns>
  <tableStyleInfo name="TableStyleLight18" showFirstColumn="0" showLastColumn="0" showRowStripes="1" showColumnStripes="0"/>
</table>
</file>

<file path=xl/tables/table118.xml><?xml version="1.0" encoding="utf-8"?>
<table xmlns="http://schemas.openxmlformats.org/spreadsheetml/2006/main" id="41" name="Boarding_15" displayName="Boarding_15" ref="A87:D102" totalsRowShown="0" headerRowDxfId="5471" dataDxfId="5469" headerRowBorderDxfId="5470" tableBorderDxfId="5468" headerRowCellStyle="40% - Accent6">
  <autoFilter ref="A87:D102"/>
  <tableColumns count="4">
    <tableColumn id="1" name="Expense" dataDxfId="5467"/>
    <tableColumn id="2" name="Description" dataDxfId="5466"/>
    <tableColumn id="4" name="Label Name" dataDxfId="5465"/>
    <tableColumn id="5" name="Amount" dataDxfId="5464" dataCellStyle="40% - Accent6"/>
  </tableColumns>
  <tableStyleInfo name="TableStyleLight18" showFirstColumn="0" showLastColumn="0" showRowStripes="1" showColumnStripes="0"/>
</table>
</file>

<file path=xl/tables/table119.xml><?xml version="1.0" encoding="utf-8"?>
<table xmlns="http://schemas.openxmlformats.org/spreadsheetml/2006/main" id="42" name="Fence_15" displayName="Fence_15" ref="A106:D121" totalsRowShown="0" headerRowDxfId="5463" dataDxfId="5461" headerRowBorderDxfId="5462" tableBorderDxfId="5460" headerRowCellStyle="40% - Accent6">
  <autoFilter ref="A106:D121"/>
  <tableColumns count="4">
    <tableColumn id="1" name="Expense" dataDxfId="5459"/>
    <tableColumn id="2" name="Description" dataDxfId="5458"/>
    <tableColumn id="4" name="Label Name" dataDxfId="5457"/>
    <tableColumn id="5" name="Amount" dataDxfId="5456" dataCellStyle="40% - Accent6"/>
  </tableColumns>
  <tableStyleInfo name="TableStyleLight18" showFirstColumn="0" showLastColumn="0" showRowStripes="1" showColumnStripes="0"/>
</table>
</file>

<file path=xl/tables/table12.xml><?xml version="1.0" encoding="utf-8"?>
<table xmlns="http://schemas.openxmlformats.org/spreadsheetml/2006/main" id="77" name="Pest_2" displayName="Pest_2" ref="A49:D64" totalsRowShown="0" headerRowDxfId="6319" dataDxfId="6317" headerRowBorderDxfId="6318" tableBorderDxfId="6316" headerRowCellStyle="40% - Accent6">
  <autoFilter ref="A49:D64"/>
  <tableColumns count="4">
    <tableColumn id="1" name="Expense" dataDxfId="6315"/>
    <tableColumn id="2" name="Description" dataDxfId="6314"/>
    <tableColumn id="4" name="Label Name" dataDxfId="6313"/>
    <tableColumn id="5" name="Amount" dataDxfId="6312" dataCellStyle="40% - Accent6"/>
  </tableColumns>
  <tableStyleInfo name="TableStyleLight18" showFirstColumn="0" showLastColumn="0" showRowStripes="1" showColumnStripes="0"/>
</table>
</file>

<file path=xl/tables/table120.xml><?xml version="1.0" encoding="utf-8"?>
<table xmlns="http://schemas.openxmlformats.org/spreadsheetml/2006/main" id="43" name="Demolition_15" displayName="Demolition_15" ref="A125:D140" totalsRowShown="0" headerRowDxfId="5455" dataDxfId="5453" headerRowBorderDxfId="5454" tableBorderDxfId="5452" headerRowCellStyle="40% - Accent6">
  <autoFilter ref="A125:D140"/>
  <tableColumns count="4">
    <tableColumn id="1" name="Expense" dataDxfId="5451"/>
    <tableColumn id="2" name="Description" dataDxfId="5450"/>
    <tableColumn id="4" name="Label Name" dataDxfId="5449"/>
    <tableColumn id="5" name="Amount" dataDxfId="5448" dataCellStyle="40% - Accent6"/>
  </tableColumns>
  <tableStyleInfo name="TableStyleLight18" showFirstColumn="0" showLastColumn="0" showRowStripes="1" showColumnStripes="0"/>
</table>
</file>

<file path=xl/tables/table121.xml><?xml version="1.0" encoding="utf-8"?>
<table xmlns="http://schemas.openxmlformats.org/spreadsheetml/2006/main" id="44" name="Rehab_15" displayName="Rehab_15" ref="A144:D159" totalsRowShown="0" headerRowDxfId="5447" dataDxfId="5445" headerRowBorderDxfId="5446" tableBorderDxfId="5444" headerRowCellStyle="40% - Accent6">
  <autoFilter ref="A144:D159"/>
  <tableColumns count="4">
    <tableColumn id="1" name="Expense" dataDxfId="5443"/>
    <tableColumn id="2" name="Description" dataDxfId="5442"/>
    <tableColumn id="4" name="Label Name" dataDxfId="5441"/>
    <tableColumn id="5" name="Amount" dataDxfId="5440" dataCellStyle="40% - Accent6"/>
  </tableColumns>
  <tableStyleInfo name="TableStyleLight18" showFirstColumn="0" showLastColumn="0" showRowStripes="1" showColumnStripes="0"/>
</table>
</file>

<file path=xl/tables/table122.xml><?xml version="1.0" encoding="utf-8"?>
<table xmlns="http://schemas.openxmlformats.org/spreadsheetml/2006/main" id="45" name="Grass_16" displayName="Grass_16" ref="A11:D26" totalsRowShown="0" headerRowDxfId="5439" dataDxfId="5437" headerRowBorderDxfId="5438" tableBorderDxfId="5436" headerRowCellStyle="40% - Accent6">
  <autoFilter ref="A11:D26"/>
  <tableColumns count="4">
    <tableColumn id="1" name="Expense" dataDxfId="5435"/>
    <tableColumn id="2" name="Description" dataDxfId="5434"/>
    <tableColumn id="4" name="Label Name" dataDxfId="5433"/>
    <tableColumn id="5" name="Amount" dataDxfId="5432" dataCellStyle="20% - Accent6"/>
  </tableColumns>
  <tableStyleInfo name="TableStyleLight18" showFirstColumn="0" showLastColumn="0" showRowStripes="1" showColumnStripes="0"/>
</table>
</file>

<file path=xl/tables/table123.xml><?xml version="1.0" encoding="utf-8"?>
<table xmlns="http://schemas.openxmlformats.org/spreadsheetml/2006/main" id="46" name="Tree_16" displayName="Tree_16" ref="A30:D45" totalsRowShown="0" headerRowDxfId="5431" dataDxfId="5429" headerRowBorderDxfId="5430" tableBorderDxfId="5428" headerRowCellStyle="40% - Accent6">
  <autoFilter ref="A30:D45"/>
  <tableColumns count="4">
    <tableColumn id="1" name="Expense" dataDxfId="5427"/>
    <tableColumn id="2" name="Description" dataDxfId="5426"/>
    <tableColumn id="4" name="Label Name" dataDxfId="5425"/>
    <tableColumn id="5" name="Amount" dataDxfId="5424" dataCellStyle="40% - Accent6"/>
  </tableColumns>
  <tableStyleInfo name="TableStyleLight18" showFirstColumn="0" showLastColumn="0" showRowStripes="1" showColumnStripes="0"/>
</table>
</file>

<file path=xl/tables/table124.xml><?xml version="1.0" encoding="utf-8"?>
<table xmlns="http://schemas.openxmlformats.org/spreadsheetml/2006/main" id="47" name="Pest_16" displayName="Pest_16" ref="A49:D64" totalsRowShown="0" headerRowDxfId="5423" dataDxfId="5421" headerRowBorderDxfId="5422" tableBorderDxfId="5420" headerRowCellStyle="40% - Accent6">
  <autoFilter ref="A49:D64"/>
  <tableColumns count="4">
    <tableColumn id="1" name="Expense" dataDxfId="5419"/>
    <tableColumn id="2" name="Description" dataDxfId="5418"/>
    <tableColumn id="4" name="Label Name" dataDxfId="5417"/>
    <tableColumn id="5" name="Amount" dataDxfId="5416" dataCellStyle="40% - Accent6"/>
  </tableColumns>
  <tableStyleInfo name="TableStyleLight18" showFirstColumn="0" showLastColumn="0" showRowStripes="1" showColumnStripes="0"/>
</table>
</file>

<file path=xl/tables/table125.xml><?xml version="1.0" encoding="utf-8"?>
<table xmlns="http://schemas.openxmlformats.org/spreadsheetml/2006/main" id="48" name="Garbage_16" displayName="Garbage_16" ref="A68:D83" totalsRowShown="0" headerRowDxfId="5415" dataDxfId="5413" headerRowBorderDxfId="5414" tableBorderDxfId="5412" headerRowCellStyle="40% - Accent6">
  <autoFilter ref="A68:D83"/>
  <tableColumns count="4">
    <tableColumn id="1" name="Expense" dataDxfId="5411"/>
    <tableColumn id="2" name="Description" dataDxfId="5410"/>
    <tableColumn id="4" name="Label Name" dataDxfId="5409"/>
    <tableColumn id="5" name="Amount" dataDxfId="5408" dataCellStyle="20% - Accent6"/>
  </tableColumns>
  <tableStyleInfo name="TableStyleLight18" showFirstColumn="0" showLastColumn="0" showRowStripes="1" showColumnStripes="0"/>
</table>
</file>

<file path=xl/tables/table126.xml><?xml version="1.0" encoding="utf-8"?>
<table xmlns="http://schemas.openxmlformats.org/spreadsheetml/2006/main" id="49" name="Boarding_16" displayName="Boarding_16" ref="A87:D102" totalsRowShown="0" headerRowDxfId="5407" dataDxfId="5405" headerRowBorderDxfId="5406" tableBorderDxfId="5404" headerRowCellStyle="40% - Accent6">
  <autoFilter ref="A87:D102"/>
  <tableColumns count="4">
    <tableColumn id="1" name="Expense" dataDxfId="5403"/>
    <tableColumn id="2" name="Description" dataDxfId="5402"/>
    <tableColumn id="4" name="Label Name" dataDxfId="5401"/>
    <tableColumn id="5" name="Amount" dataDxfId="5400" dataCellStyle="40% - Accent6"/>
  </tableColumns>
  <tableStyleInfo name="TableStyleLight18" showFirstColumn="0" showLastColumn="0" showRowStripes="1" showColumnStripes="0"/>
</table>
</file>

<file path=xl/tables/table127.xml><?xml version="1.0" encoding="utf-8"?>
<table xmlns="http://schemas.openxmlformats.org/spreadsheetml/2006/main" id="50" name="Fence_16" displayName="Fence_16" ref="A106:D121" totalsRowShown="0" headerRowDxfId="5399" dataDxfId="5397" headerRowBorderDxfId="5398" tableBorderDxfId="5396" headerRowCellStyle="40% - Accent6">
  <autoFilter ref="A106:D121"/>
  <tableColumns count="4">
    <tableColumn id="1" name="Expense" dataDxfId="5395"/>
    <tableColumn id="2" name="Description" dataDxfId="5394"/>
    <tableColumn id="4" name="Label Name" dataDxfId="5393"/>
    <tableColumn id="5" name="Amount" dataDxfId="5392" dataCellStyle="40% - Accent6"/>
  </tableColumns>
  <tableStyleInfo name="TableStyleLight18" showFirstColumn="0" showLastColumn="0" showRowStripes="1" showColumnStripes="0"/>
</table>
</file>

<file path=xl/tables/table128.xml><?xml version="1.0" encoding="utf-8"?>
<table xmlns="http://schemas.openxmlformats.org/spreadsheetml/2006/main" id="51" name="Demolition_16" displayName="Demolition_16" ref="A125:D140" totalsRowShown="0" headerRowDxfId="5391" dataDxfId="5389" headerRowBorderDxfId="5390" tableBorderDxfId="5388" headerRowCellStyle="40% - Accent6">
  <autoFilter ref="A125:D140"/>
  <tableColumns count="4">
    <tableColumn id="1" name="Expense" dataDxfId="5387"/>
    <tableColumn id="2" name="Description" dataDxfId="5386"/>
    <tableColumn id="4" name="Label Name" dataDxfId="5385"/>
    <tableColumn id="5" name="Amount" dataDxfId="5384" dataCellStyle="40% - Accent6"/>
  </tableColumns>
  <tableStyleInfo name="TableStyleLight18" showFirstColumn="0" showLastColumn="0" showRowStripes="1" showColumnStripes="0"/>
</table>
</file>

<file path=xl/tables/table129.xml><?xml version="1.0" encoding="utf-8"?>
<table xmlns="http://schemas.openxmlformats.org/spreadsheetml/2006/main" id="52" name="Rehab_16" displayName="Rehab_16" ref="A144:D159" totalsRowShown="0" headerRowDxfId="5383" dataDxfId="5381" headerRowBorderDxfId="5382" tableBorderDxfId="5380" headerRowCellStyle="40% - Accent6">
  <autoFilter ref="A144:D159"/>
  <tableColumns count="4">
    <tableColumn id="1" name="Expense" dataDxfId="5379"/>
    <tableColumn id="2" name="Description" dataDxfId="5378"/>
    <tableColumn id="4" name="Label Name" dataDxfId="5377"/>
    <tableColumn id="5" name="Amount" dataDxfId="5376" dataCellStyle="40% - Accent6"/>
  </tableColumns>
  <tableStyleInfo name="TableStyleLight18" showFirstColumn="0" showLastColumn="0" showRowStripes="1" showColumnStripes="0"/>
</table>
</file>

<file path=xl/tables/table13.xml><?xml version="1.0" encoding="utf-8"?>
<table xmlns="http://schemas.openxmlformats.org/spreadsheetml/2006/main" id="78" name="Garbage_2" displayName="Garbage_2" ref="A68:D83" totalsRowShown="0" headerRowDxfId="6311" dataDxfId="6309" headerRowBorderDxfId="6310" tableBorderDxfId="6308" headerRowCellStyle="40% - Accent6">
  <autoFilter ref="A68:D83"/>
  <tableColumns count="4">
    <tableColumn id="1" name="Expense" dataDxfId="6307"/>
    <tableColumn id="2" name="Description" dataDxfId="6306"/>
    <tableColumn id="4" name="Label Name" dataDxfId="6305"/>
    <tableColumn id="5" name="Amount" dataDxfId="6304" dataCellStyle="20% - Accent6"/>
  </tableColumns>
  <tableStyleInfo name="TableStyleLight18" showFirstColumn="0" showLastColumn="0" showRowStripes="1" showColumnStripes="0"/>
</table>
</file>

<file path=xl/tables/table130.xml><?xml version="1.0" encoding="utf-8"?>
<table xmlns="http://schemas.openxmlformats.org/spreadsheetml/2006/main" id="53" name="Grass_17" displayName="Grass_17" ref="A11:D26" totalsRowShown="0" headerRowDxfId="5375" dataDxfId="5373" headerRowBorderDxfId="5374" tableBorderDxfId="5372" headerRowCellStyle="40% - Accent6">
  <autoFilter ref="A11:D26"/>
  <tableColumns count="4">
    <tableColumn id="1" name="Expense" dataDxfId="5371"/>
    <tableColumn id="2" name="Description" dataDxfId="5370"/>
    <tableColumn id="4" name="Label Name" dataDxfId="5369"/>
    <tableColumn id="5" name="Amount" dataDxfId="5368" dataCellStyle="20% - Accent6"/>
  </tableColumns>
  <tableStyleInfo name="TableStyleLight18" showFirstColumn="0" showLastColumn="0" showRowStripes="1" showColumnStripes="0"/>
</table>
</file>

<file path=xl/tables/table131.xml><?xml version="1.0" encoding="utf-8"?>
<table xmlns="http://schemas.openxmlformats.org/spreadsheetml/2006/main" id="54" name="Tree_17" displayName="Tree_17" ref="A30:D45" totalsRowShown="0" headerRowDxfId="5367" dataDxfId="5365" headerRowBorderDxfId="5366" tableBorderDxfId="5364" headerRowCellStyle="40% - Accent6">
  <autoFilter ref="A30:D45"/>
  <tableColumns count="4">
    <tableColumn id="1" name="Expense" dataDxfId="5363"/>
    <tableColumn id="2" name="Description" dataDxfId="5362"/>
    <tableColumn id="4" name="Label Name" dataDxfId="5361"/>
    <tableColumn id="5" name="Amount" dataDxfId="5360" dataCellStyle="40% - Accent6"/>
  </tableColumns>
  <tableStyleInfo name="TableStyleLight18" showFirstColumn="0" showLastColumn="0" showRowStripes="1" showColumnStripes="0"/>
</table>
</file>

<file path=xl/tables/table132.xml><?xml version="1.0" encoding="utf-8"?>
<table xmlns="http://schemas.openxmlformats.org/spreadsheetml/2006/main" id="55" name="Pest_17" displayName="Pest_17" ref="A49:D64" totalsRowShown="0" headerRowDxfId="5359" dataDxfId="5357" headerRowBorderDxfId="5358" tableBorderDxfId="5356" headerRowCellStyle="40% - Accent6">
  <autoFilter ref="A49:D64"/>
  <tableColumns count="4">
    <tableColumn id="1" name="Expense" dataDxfId="5355"/>
    <tableColumn id="2" name="Description" dataDxfId="5354"/>
    <tableColumn id="4" name="Label Name" dataDxfId="5353"/>
    <tableColumn id="5" name="Amount" dataDxfId="5352" dataCellStyle="40% - Accent6"/>
  </tableColumns>
  <tableStyleInfo name="TableStyleLight18" showFirstColumn="0" showLastColumn="0" showRowStripes="1" showColumnStripes="0"/>
</table>
</file>

<file path=xl/tables/table133.xml><?xml version="1.0" encoding="utf-8"?>
<table xmlns="http://schemas.openxmlformats.org/spreadsheetml/2006/main" id="56" name="Garbage_17" displayName="Garbage_17" ref="A68:D83" totalsRowShown="0" headerRowDxfId="5351" dataDxfId="5349" headerRowBorderDxfId="5350" tableBorderDxfId="5348" headerRowCellStyle="40% - Accent6">
  <autoFilter ref="A68:D83"/>
  <tableColumns count="4">
    <tableColumn id="1" name="Expense" dataDxfId="5347"/>
    <tableColumn id="2" name="Description" dataDxfId="5346"/>
    <tableColumn id="4" name="Label Name" dataDxfId="5345"/>
    <tableColumn id="5" name="Amount" dataDxfId="5344" dataCellStyle="20% - Accent6"/>
  </tableColumns>
  <tableStyleInfo name="TableStyleLight18" showFirstColumn="0" showLastColumn="0" showRowStripes="1" showColumnStripes="0"/>
</table>
</file>

<file path=xl/tables/table134.xml><?xml version="1.0" encoding="utf-8"?>
<table xmlns="http://schemas.openxmlformats.org/spreadsheetml/2006/main" id="57" name="Boarding_17" displayName="Boarding_17" ref="A87:D102" totalsRowShown="0" headerRowDxfId="5343" dataDxfId="5341" headerRowBorderDxfId="5342" tableBorderDxfId="5340" headerRowCellStyle="40% - Accent6">
  <autoFilter ref="A87:D102"/>
  <tableColumns count="4">
    <tableColumn id="1" name="Expense" dataDxfId="5339"/>
    <tableColumn id="2" name="Description" dataDxfId="5338"/>
    <tableColumn id="4" name="Label Name" dataDxfId="5337"/>
    <tableColumn id="5" name="Amount" dataDxfId="5336" dataCellStyle="40% - Accent6"/>
  </tableColumns>
  <tableStyleInfo name="TableStyleLight18" showFirstColumn="0" showLastColumn="0" showRowStripes="1" showColumnStripes="0"/>
</table>
</file>

<file path=xl/tables/table135.xml><?xml version="1.0" encoding="utf-8"?>
<table xmlns="http://schemas.openxmlformats.org/spreadsheetml/2006/main" id="58" name="Fence_17" displayName="Fence_17" ref="A106:D121" totalsRowShown="0" headerRowDxfId="5335" dataDxfId="5333" headerRowBorderDxfId="5334" tableBorderDxfId="5332" headerRowCellStyle="40% - Accent6">
  <autoFilter ref="A106:D121"/>
  <tableColumns count="4">
    <tableColumn id="1" name="Expense" dataDxfId="5331"/>
    <tableColumn id="2" name="Description" dataDxfId="5330"/>
    <tableColumn id="4" name="Label Name" dataDxfId="5329"/>
    <tableColumn id="5" name="Amount" dataDxfId="5328" dataCellStyle="40% - Accent6"/>
  </tableColumns>
  <tableStyleInfo name="TableStyleLight18" showFirstColumn="0" showLastColumn="0" showRowStripes="1" showColumnStripes="0"/>
</table>
</file>

<file path=xl/tables/table136.xml><?xml version="1.0" encoding="utf-8"?>
<table xmlns="http://schemas.openxmlformats.org/spreadsheetml/2006/main" id="59" name="Demolition_17" displayName="Demolition_17" ref="A125:D140" totalsRowShown="0" headerRowDxfId="5327" dataDxfId="5325" headerRowBorderDxfId="5326" tableBorderDxfId="5324" headerRowCellStyle="40% - Accent6">
  <autoFilter ref="A125:D140"/>
  <tableColumns count="4">
    <tableColumn id="1" name="Expense" dataDxfId="5323"/>
    <tableColumn id="2" name="Description" dataDxfId="5322"/>
    <tableColumn id="4" name="Label Name" dataDxfId="5321"/>
    <tableColumn id="5" name="Amount" dataDxfId="5320" dataCellStyle="40% - Accent6"/>
  </tableColumns>
  <tableStyleInfo name="TableStyleLight18" showFirstColumn="0" showLastColumn="0" showRowStripes="1" showColumnStripes="0"/>
</table>
</file>

<file path=xl/tables/table137.xml><?xml version="1.0" encoding="utf-8"?>
<table xmlns="http://schemas.openxmlformats.org/spreadsheetml/2006/main" id="60" name="Rehab_17" displayName="Rehab_17" ref="A144:D159" totalsRowShown="0" headerRowDxfId="5319" dataDxfId="5317" headerRowBorderDxfId="5318" tableBorderDxfId="5316" headerRowCellStyle="40% - Accent6">
  <autoFilter ref="A144:D159"/>
  <tableColumns count="4">
    <tableColumn id="1" name="Expense" dataDxfId="5315"/>
    <tableColumn id="2" name="Description" dataDxfId="5314"/>
    <tableColumn id="4" name="Label Name" dataDxfId="5313"/>
    <tableColumn id="5" name="Amount" dataDxfId="5312" dataCellStyle="40% - Accent6"/>
  </tableColumns>
  <tableStyleInfo name="TableStyleLight18" showFirstColumn="0" showLastColumn="0" showRowStripes="1" showColumnStripes="0"/>
</table>
</file>

<file path=xl/tables/table138.xml><?xml version="1.0" encoding="utf-8"?>
<table xmlns="http://schemas.openxmlformats.org/spreadsheetml/2006/main" id="61" name="Grass_18" displayName="Grass_18" ref="A11:D26" totalsRowShown="0" headerRowDxfId="5311" dataDxfId="5309" headerRowBorderDxfId="5310" tableBorderDxfId="5308" headerRowCellStyle="40% - Accent6">
  <autoFilter ref="A11:D26"/>
  <tableColumns count="4">
    <tableColumn id="1" name="Expense" dataDxfId="5307"/>
    <tableColumn id="2" name="Description" dataDxfId="5306"/>
    <tableColumn id="4" name="Label Name" dataDxfId="5305"/>
    <tableColumn id="5" name="Amount" dataDxfId="5304" dataCellStyle="20% - Accent6"/>
  </tableColumns>
  <tableStyleInfo name="TableStyleLight18" showFirstColumn="0" showLastColumn="0" showRowStripes="1" showColumnStripes="0"/>
</table>
</file>

<file path=xl/tables/table139.xml><?xml version="1.0" encoding="utf-8"?>
<table xmlns="http://schemas.openxmlformats.org/spreadsheetml/2006/main" id="67" name="Tree_18" displayName="Tree_18" ref="A30:D45" totalsRowShown="0" headerRowDxfId="5303" dataDxfId="5301" headerRowBorderDxfId="5302" tableBorderDxfId="5300" headerRowCellStyle="40% - Accent6">
  <autoFilter ref="A30:D45"/>
  <tableColumns count="4">
    <tableColumn id="1" name="Expense" dataDxfId="5299"/>
    <tableColumn id="2" name="Description" dataDxfId="5298"/>
    <tableColumn id="4" name="Label Name" dataDxfId="5297"/>
    <tableColumn id="5" name="Amount" dataDxfId="5296" dataCellStyle="40% - Accent6"/>
  </tableColumns>
  <tableStyleInfo name="TableStyleLight18" showFirstColumn="0" showLastColumn="0" showRowStripes="1" showColumnStripes="0"/>
</table>
</file>

<file path=xl/tables/table14.xml><?xml version="1.0" encoding="utf-8"?>
<table xmlns="http://schemas.openxmlformats.org/spreadsheetml/2006/main" id="79" name="Boarding_2" displayName="Boarding_2" ref="A87:D102" totalsRowShown="0" headerRowDxfId="6303" dataDxfId="6301" headerRowBorderDxfId="6302" tableBorderDxfId="6300" headerRowCellStyle="40% - Accent6">
  <autoFilter ref="A87:D102"/>
  <tableColumns count="4">
    <tableColumn id="1" name="Expense" dataDxfId="6299"/>
    <tableColumn id="2" name="Description" dataDxfId="6298"/>
    <tableColumn id="4" name="Label Name" dataDxfId="6297"/>
    <tableColumn id="5" name="Amount" dataDxfId="6296" dataCellStyle="40% - Accent6"/>
  </tableColumns>
  <tableStyleInfo name="TableStyleLight18" showFirstColumn="0" showLastColumn="0" showRowStripes="1" showColumnStripes="0"/>
</table>
</file>

<file path=xl/tables/table140.xml><?xml version="1.0" encoding="utf-8"?>
<table xmlns="http://schemas.openxmlformats.org/spreadsheetml/2006/main" id="68" name="Pest_18" displayName="Pest_18" ref="A49:D64" totalsRowShown="0" headerRowDxfId="5295" dataDxfId="5293" headerRowBorderDxfId="5294" tableBorderDxfId="5292" headerRowCellStyle="40% - Accent6">
  <autoFilter ref="A49:D64"/>
  <tableColumns count="4">
    <tableColumn id="1" name="Expense" dataDxfId="5291"/>
    <tableColumn id="2" name="Description" dataDxfId="5290"/>
    <tableColumn id="4" name="Label Name" dataDxfId="5289"/>
    <tableColumn id="5" name="Amount" dataDxfId="5288" dataCellStyle="40% - Accent6"/>
  </tableColumns>
  <tableStyleInfo name="TableStyleLight18" showFirstColumn="0" showLastColumn="0" showRowStripes="1" showColumnStripes="0"/>
</table>
</file>

<file path=xl/tables/table141.xml><?xml version="1.0" encoding="utf-8"?>
<table xmlns="http://schemas.openxmlformats.org/spreadsheetml/2006/main" id="69" name="Garbage_18" displayName="Garbage_18" ref="A68:D83" totalsRowShown="0" headerRowDxfId="5287" dataDxfId="5285" headerRowBorderDxfId="5286" tableBorderDxfId="5284" headerRowCellStyle="40% - Accent6">
  <autoFilter ref="A68:D83"/>
  <tableColumns count="4">
    <tableColumn id="1" name="Expense" dataDxfId="5283"/>
    <tableColumn id="2" name="Description" dataDxfId="5282"/>
    <tableColumn id="4" name="Label Name" dataDxfId="5281"/>
    <tableColumn id="5" name="Amount" dataDxfId="5280" dataCellStyle="20% - Accent6"/>
  </tableColumns>
  <tableStyleInfo name="TableStyleLight18" showFirstColumn="0" showLastColumn="0" showRowStripes="1" showColumnStripes="0"/>
</table>
</file>

<file path=xl/tables/table142.xml><?xml version="1.0" encoding="utf-8"?>
<table xmlns="http://schemas.openxmlformats.org/spreadsheetml/2006/main" id="70" name="Boarding_18" displayName="Boarding_18" ref="A87:D102" totalsRowShown="0" headerRowDxfId="5279" dataDxfId="5277" headerRowBorderDxfId="5278" tableBorderDxfId="5276" headerRowCellStyle="40% - Accent6">
  <autoFilter ref="A87:D102"/>
  <tableColumns count="4">
    <tableColumn id="1" name="Expense" dataDxfId="5275"/>
    <tableColumn id="2" name="Description" dataDxfId="5274"/>
    <tableColumn id="4" name="Label Name" dataDxfId="5273"/>
    <tableColumn id="5" name="Amount" dataDxfId="5272" dataCellStyle="40% - Accent6"/>
  </tableColumns>
  <tableStyleInfo name="TableStyleLight18" showFirstColumn="0" showLastColumn="0" showRowStripes="1" showColumnStripes="0"/>
</table>
</file>

<file path=xl/tables/table143.xml><?xml version="1.0" encoding="utf-8"?>
<table xmlns="http://schemas.openxmlformats.org/spreadsheetml/2006/main" id="71" name="Fence_18" displayName="Fence_18" ref="A106:D121" totalsRowShown="0" headerRowDxfId="5271" dataDxfId="5269" headerRowBorderDxfId="5270" tableBorderDxfId="5268" headerRowCellStyle="40% - Accent6">
  <autoFilter ref="A106:D121"/>
  <tableColumns count="4">
    <tableColumn id="1" name="Expense" dataDxfId="5267"/>
    <tableColumn id="2" name="Description" dataDxfId="5266"/>
    <tableColumn id="4" name="Label Name" dataDxfId="5265"/>
    <tableColumn id="5" name="Amount" dataDxfId="5264" dataCellStyle="40% - Accent6"/>
  </tableColumns>
  <tableStyleInfo name="TableStyleLight18" showFirstColumn="0" showLastColumn="0" showRowStripes="1" showColumnStripes="0"/>
</table>
</file>

<file path=xl/tables/table144.xml><?xml version="1.0" encoding="utf-8"?>
<table xmlns="http://schemas.openxmlformats.org/spreadsheetml/2006/main" id="72" name="Demolition_18" displayName="Demolition_18" ref="A125:D140" totalsRowShown="0" headerRowDxfId="5263" dataDxfId="5261" headerRowBorderDxfId="5262" tableBorderDxfId="5260" headerRowCellStyle="40% - Accent6">
  <autoFilter ref="A125:D140"/>
  <tableColumns count="4">
    <tableColumn id="1" name="Expense" dataDxfId="5259"/>
    <tableColumn id="2" name="Description" dataDxfId="5258"/>
    <tableColumn id="4" name="Label Name" dataDxfId="5257"/>
    <tableColumn id="5" name="Amount" dataDxfId="5256" dataCellStyle="40% - Accent6"/>
  </tableColumns>
  <tableStyleInfo name="TableStyleLight18" showFirstColumn="0" showLastColumn="0" showRowStripes="1" showColumnStripes="0"/>
</table>
</file>

<file path=xl/tables/table145.xml><?xml version="1.0" encoding="utf-8"?>
<table xmlns="http://schemas.openxmlformats.org/spreadsheetml/2006/main" id="73" name="Rehab_18" displayName="Rehab_18" ref="A144:D159" totalsRowShown="0" headerRowDxfId="5255" dataDxfId="5253" headerRowBorderDxfId="5254" tableBorderDxfId="5252" headerRowCellStyle="40% - Accent6">
  <autoFilter ref="A144:D159"/>
  <tableColumns count="4">
    <tableColumn id="1" name="Expense" dataDxfId="5251"/>
    <tableColumn id="2" name="Description" dataDxfId="5250"/>
    <tableColumn id="4" name="Label Name" dataDxfId="5249"/>
    <tableColumn id="5" name="Amount" dataDxfId="5248" dataCellStyle="40% - Accent6"/>
  </tableColumns>
  <tableStyleInfo name="TableStyleLight18" showFirstColumn="0" showLastColumn="0" showRowStripes="1" showColumnStripes="0"/>
</table>
</file>

<file path=xl/tables/table146.xml><?xml version="1.0" encoding="utf-8"?>
<table xmlns="http://schemas.openxmlformats.org/spreadsheetml/2006/main" id="74" name="Grass_19" displayName="Grass_19" ref="A11:D26" totalsRowShown="0" headerRowDxfId="5247" dataDxfId="5245" headerRowBorderDxfId="5246" tableBorderDxfId="5244" headerRowCellStyle="40% - Accent6">
  <autoFilter ref="A11:D26"/>
  <tableColumns count="4">
    <tableColumn id="1" name="Expense" dataDxfId="5243"/>
    <tableColumn id="2" name="Description" dataDxfId="5242"/>
    <tableColumn id="4" name="Label Name" dataDxfId="5241"/>
    <tableColumn id="5" name="Amount" dataDxfId="5240" dataCellStyle="20% - Accent6"/>
  </tableColumns>
  <tableStyleInfo name="TableStyleLight18" showFirstColumn="0" showLastColumn="0" showRowStripes="1" showColumnStripes="0"/>
</table>
</file>

<file path=xl/tables/table147.xml><?xml version="1.0" encoding="utf-8"?>
<table xmlns="http://schemas.openxmlformats.org/spreadsheetml/2006/main" id="147" name="Tree_19" displayName="Tree_19" ref="A30:D45" totalsRowShown="0" headerRowDxfId="5239" dataDxfId="5237" headerRowBorderDxfId="5238" tableBorderDxfId="5236" headerRowCellStyle="40% - Accent6">
  <autoFilter ref="A30:D45"/>
  <tableColumns count="4">
    <tableColumn id="1" name="Expense" dataDxfId="5235"/>
    <tableColumn id="2" name="Description" dataDxfId="5234"/>
    <tableColumn id="4" name="Label Name" dataDxfId="5233"/>
    <tableColumn id="5" name="Amount" dataDxfId="5232" dataCellStyle="40% - Accent6"/>
  </tableColumns>
  <tableStyleInfo name="TableStyleLight18" showFirstColumn="0" showLastColumn="0" showRowStripes="1" showColumnStripes="0"/>
</table>
</file>

<file path=xl/tables/table148.xml><?xml version="1.0" encoding="utf-8"?>
<table xmlns="http://schemas.openxmlformats.org/spreadsheetml/2006/main" id="148" name="Pest_19" displayName="Pest_19" ref="A49:D64" totalsRowShown="0" headerRowDxfId="5231" dataDxfId="5229" headerRowBorderDxfId="5230" tableBorderDxfId="5228" headerRowCellStyle="40% - Accent6">
  <autoFilter ref="A49:D64"/>
  <tableColumns count="4">
    <tableColumn id="1" name="Expense" dataDxfId="5227"/>
    <tableColumn id="2" name="Description" dataDxfId="5226"/>
    <tableColumn id="4" name="Label Name" dataDxfId="5225"/>
    <tableColumn id="5" name="Amount" dataDxfId="5224" dataCellStyle="40% - Accent6"/>
  </tableColumns>
  <tableStyleInfo name="TableStyleLight18" showFirstColumn="0" showLastColumn="0" showRowStripes="1" showColumnStripes="0"/>
</table>
</file>

<file path=xl/tables/table149.xml><?xml version="1.0" encoding="utf-8"?>
<table xmlns="http://schemas.openxmlformats.org/spreadsheetml/2006/main" id="149" name="Garbage_19" displayName="Garbage_19" ref="A68:D83" totalsRowShown="0" headerRowDxfId="5223" dataDxfId="5221" headerRowBorderDxfId="5222" tableBorderDxfId="5220" headerRowCellStyle="40% - Accent6">
  <autoFilter ref="A68:D83"/>
  <tableColumns count="4">
    <tableColumn id="1" name="Expense" dataDxfId="5219"/>
    <tableColumn id="2" name="Description" dataDxfId="5218"/>
    <tableColumn id="4" name="Label Name" dataDxfId="5217"/>
    <tableColumn id="5" name="Amount" dataDxfId="5216" dataCellStyle="20% - Accent6"/>
  </tableColumns>
  <tableStyleInfo name="TableStyleLight18" showFirstColumn="0" showLastColumn="0" showRowStripes="1" showColumnStripes="0"/>
</table>
</file>

<file path=xl/tables/table15.xml><?xml version="1.0" encoding="utf-8"?>
<table xmlns="http://schemas.openxmlformats.org/spreadsheetml/2006/main" id="80" name="Fence_2" displayName="Fence_2" ref="A106:D121" totalsRowShown="0" headerRowDxfId="6295" dataDxfId="6293" headerRowBorderDxfId="6294" tableBorderDxfId="6292" headerRowCellStyle="40% - Accent6">
  <autoFilter ref="A106:D121"/>
  <tableColumns count="4">
    <tableColumn id="1" name="Expense" dataDxfId="6291"/>
    <tableColumn id="2" name="Description" dataDxfId="6290"/>
    <tableColumn id="4" name="Label Name" dataDxfId="6289"/>
    <tableColumn id="5" name="Amount" dataDxfId="6288" dataCellStyle="40% - Accent6"/>
  </tableColumns>
  <tableStyleInfo name="TableStyleLight18" showFirstColumn="0" showLastColumn="0" showRowStripes="1" showColumnStripes="0"/>
</table>
</file>

<file path=xl/tables/table150.xml><?xml version="1.0" encoding="utf-8"?>
<table xmlns="http://schemas.openxmlformats.org/spreadsheetml/2006/main" id="150" name="Boarding_19" displayName="Boarding_19" ref="A87:D102" totalsRowShown="0" headerRowDxfId="5215" dataDxfId="5213" headerRowBorderDxfId="5214" tableBorderDxfId="5212" headerRowCellStyle="40% - Accent6">
  <autoFilter ref="A87:D102"/>
  <tableColumns count="4">
    <tableColumn id="1" name="Expense" dataDxfId="5211"/>
    <tableColumn id="2" name="Description" dataDxfId="5210"/>
    <tableColumn id="4" name="Label Name" dataDxfId="5209"/>
    <tableColumn id="5" name="Amount" dataDxfId="5208" dataCellStyle="40% - Accent6"/>
  </tableColumns>
  <tableStyleInfo name="TableStyleLight18" showFirstColumn="0" showLastColumn="0" showRowStripes="1" showColumnStripes="0"/>
</table>
</file>

<file path=xl/tables/table151.xml><?xml version="1.0" encoding="utf-8"?>
<table xmlns="http://schemas.openxmlformats.org/spreadsheetml/2006/main" id="151" name="Fence_19" displayName="Fence_19" ref="A106:D121" totalsRowShown="0" headerRowDxfId="5207" dataDxfId="5205" headerRowBorderDxfId="5206" tableBorderDxfId="5204" headerRowCellStyle="40% - Accent6">
  <autoFilter ref="A106:D121"/>
  <tableColumns count="4">
    <tableColumn id="1" name="Expense" dataDxfId="5203"/>
    <tableColumn id="2" name="Description" dataDxfId="5202"/>
    <tableColumn id="4" name="Label Name" dataDxfId="5201"/>
    <tableColumn id="5" name="Amount" dataDxfId="5200" dataCellStyle="40% - Accent6"/>
  </tableColumns>
  <tableStyleInfo name="TableStyleLight18" showFirstColumn="0" showLastColumn="0" showRowStripes="1" showColumnStripes="0"/>
</table>
</file>

<file path=xl/tables/table152.xml><?xml version="1.0" encoding="utf-8"?>
<table xmlns="http://schemas.openxmlformats.org/spreadsheetml/2006/main" id="152" name="Demolition_19" displayName="Demolition_19" ref="A125:D140" totalsRowShown="0" headerRowDxfId="5199" dataDxfId="5197" headerRowBorderDxfId="5198" tableBorderDxfId="5196" headerRowCellStyle="40% - Accent6">
  <autoFilter ref="A125:D140"/>
  <tableColumns count="4">
    <tableColumn id="1" name="Expense" dataDxfId="5195"/>
    <tableColumn id="2" name="Description" dataDxfId="5194"/>
    <tableColumn id="4" name="Label Name" dataDxfId="5193"/>
    <tableColumn id="5" name="Amount" dataDxfId="5192" dataCellStyle="40% - Accent6"/>
  </tableColumns>
  <tableStyleInfo name="TableStyleLight18" showFirstColumn="0" showLastColumn="0" showRowStripes="1" showColumnStripes="0"/>
</table>
</file>

<file path=xl/tables/table153.xml><?xml version="1.0" encoding="utf-8"?>
<table xmlns="http://schemas.openxmlformats.org/spreadsheetml/2006/main" id="153" name="Rehab_19" displayName="Rehab_19" ref="A144:D159" totalsRowShown="0" headerRowDxfId="5191" dataDxfId="5189" headerRowBorderDxfId="5190" tableBorderDxfId="5188" headerRowCellStyle="40% - Accent6">
  <autoFilter ref="A144:D159"/>
  <tableColumns count="4">
    <tableColumn id="1" name="Expense" dataDxfId="5187"/>
    <tableColumn id="2" name="Description" dataDxfId="5186"/>
    <tableColumn id="4" name="Label Name" dataDxfId="5185"/>
    <tableColumn id="5" name="Amount" dataDxfId="5184" dataCellStyle="40% - Accent6"/>
  </tableColumns>
  <tableStyleInfo name="TableStyleLight18" showFirstColumn="0" showLastColumn="0" showRowStripes="1" showColumnStripes="0"/>
</table>
</file>

<file path=xl/tables/table154.xml><?xml version="1.0" encoding="utf-8"?>
<table xmlns="http://schemas.openxmlformats.org/spreadsheetml/2006/main" id="154" name="Grass_20" displayName="Grass_20" ref="A11:D26" totalsRowShown="0" headerRowDxfId="5183" dataDxfId="5181" headerRowBorderDxfId="5182" tableBorderDxfId="5180" headerRowCellStyle="40% - Accent6">
  <autoFilter ref="A11:D26"/>
  <tableColumns count="4">
    <tableColumn id="1" name="Expense" dataDxfId="5179"/>
    <tableColumn id="2" name="Description" dataDxfId="5178"/>
    <tableColumn id="4" name="Label Name" dataDxfId="5177"/>
    <tableColumn id="5" name="Amount" dataDxfId="5176" dataCellStyle="20% - Accent6"/>
  </tableColumns>
  <tableStyleInfo name="TableStyleLight18" showFirstColumn="0" showLastColumn="0" showRowStripes="1" showColumnStripes="0"/>
</table>
</file>

<file path=xl/tables/table155.xml><?xml version="1.0" encoding="utf-8"?>
<table xmlns="http://schemas.openxmlformats.org/spreadsheetml/2006/main" id="155" name="Tree_20" displayName="Tree_20" ref="A30:D45" totalsRowShown="0" headerRowDxfId="5175" dataDxfId="5173" headerRowBorderDxfId="5174" tableBorderDxfId="5172" headerRowCellStyle="40% - Accent6">
  <autoFilter ref="A30:D45"/>
  <tableColumns count="4">
    <tableColumn id="1" name="Expense" dataDxfId="5171"/>
    <tableColumn id="2" name="Description" dataDxfId="5170"/>
    <tableColumn id="4" name="Label Name" dataDxfId="5169"/>
    <tableColumn id="5" name="Amount" dataDxfId="5168" dataCellStyle="40% - Accent6"/>
  </tableColumns>
  <tableStyleInfo name="TableStyleLight18" showFirstColumn="0" showLastColumn="0" showRowStripes="1" showColumnStripes="0"/>
</table>
</file>

<file path=xl/tables/table156.xml><?xml version="1.0" encoding="utf-8"?>
<table xmlns="http://schemas.openxmlformats.org/spreadsheetml/2006/main" id="156" name="Pest_20" displayName="Pest_20" ref="A49:D64" totalsRowShown="0" headerRowDxfId="5167" dataDxfId="5165" headerRowBorderDxfId="5166" tableBorderDxfId="5164" headerRowCellStyle="40% - Accent6">
  <autoFilter ref="A49:D64"/>
  <tableColumns count="4">
    <tableColumn id="1" name="Expense" dataDxfId="5163"/>
    <tableColumn id="2" name="Description" dataDxfId="5162"/>
    <tableColumn id="4" name="Label Name" dataDxfId="5161"/>
    <tableColumn id="5" name="Amount" dataDxfId="5160" dataCellStyle="40% - Accent6"/>
  </tableColumns>
  <tableStyleInfo name="TableStyleLight18" showFirstColumn="0" showLastColumn="0" showRowStripes="1" showColumnStripes="0"/>
</table>
</file>

<file path=xl/tables/table157.xml><?xml version="1.0" encoding="utf-8"?>
<table xmlns="http://schemas.openxmlformats.org/spreadsheetml/2006/main" id="157" name="Garbage_20" displayName="Garbage_20" ref="A68:D83" totalsRowShown="0" headerRowDxfId="5159" dataDxfId="5157" headerRowBorderDxfId="5158" tableBorderDxfId="5156" headerRowCellStyle="40% - Accent6">
  <autoFilter ref="A68:D83"/>
  <tableColumns count="4">
    <tableColumn id="1" name="Expense" dataDxfId="5155"/>
    <tableColumn id="2" name="Description" dataDxfId="5154"/>
    <tableColumn id="4" name="Label Name" dataDxfId="5153"/>
    <tableColumn id="5" name="Amount" dataDxfId="5152" dataCellStyle="20% - Accent6"/>
  </tableColumns>
  <tableStyleInfo name="TableStyleLight18" showFirstColumn="0" showLastColumn="0" showRowStripes="1" showColumnStripes="0"/>
</table>
</file>

<file path=xl/tables/table158.xml><?xml version="1.0" encoding="utf-8"?>
<table xmlns="http://schemas.openxmlformats.org/spreadsheetml/2006/main" id="158" name="Boarding_20" displayName="Boarding_20" ref="A87:D102" totalsRowShown="0" headerRowDxfId="5151" dataDxfId="5149" headerRowBorderDxfId="5150" tableBorderDxfId="5148" headerRowCellStyle="40% - Accent6">
  <autoFilter ref="A87:D102"/>
  <tableColumns count="4">
    <tableColumn id="1" name="Expense" dataDxfId="5147"/>
    <tableColumn id="2" name="Description" dataDxfId="5146"/>
    <tableColumn id="4" name="Label Name" dataDxfId="5145"/>
    <tableColumn id="5" name="Amount" dataDxfId="5144" dataCellStyle="40% - Accent6"/>
  </tableColumns>
  <tableStyleInfo name="TableStyleLight18" showFirstColumn="0" showLastColumn="0" showRowStripes="1" showColumnStripes="0"/>
</table>
</file>

<file path=xl/tables/table159.xml><?xml version="1.0" encoding="utf-8"?>
<table xmlns="http://schemas.openxmlformats.org/spreadsheetml/2006/main" id="159" name="Fence_20" displayName="Fence_20" ref="A106:D121" totalsRowShown="0" headerRowDxfId="5143" dataDxfId="5141" headerRowBorderDxfId="5142" tableBorderDxfId="5140" headerRowCellStyle="40% - Accent6">
  <autoFilter ref="A106:D121"/>
  <tableColumns count="4">
    <tableColumn id="1" name="Expense" dataDxfId="5139"/>
    <tableColumn id="2" name="Description" dataDxfId="5138"/>
    <tableColumn id="4" name="Label Name" dataDxfId="5137"/>
    <tableColumn id="5" name="Amount" dataDxfId="5136" dataCellStyle="40% - Accent6"/>
  </tableColumns>
  <tableStyleInfo name="TableStyleLight18" showFirstColumn="0" showLastColumn="0" showRowStripes="1" showColumnStripes="0"/>
</table>
</file>

<file path=xl/tables/table16.xml><?xml version="1.0" encoding="utf-8"?>
<table xmlns="http://schemas.openxmlformats.org/spreadsheetml/2006/main" id="81" name="Demolition_2" displayName="Demolition_2" ref="A125:D140" totalsRowShown="0" headerRowDxfId="6287" dataDxfId="6285" headerRowBorderDxfId="6286" tableBorderDxfId="6284" headerRowCellStyle="40% - Accent6">
  <autoFilter ref="A125:D140"/>
  <tableColumns count="4">
    <tableColumn id="1" name="Expense" dataDxfId="6283"/>
    <tableColumn id="2" name="Description" dataDxfId="6282"/>
    <tableColumn id="4" name="Label Name" dataDxfId="6281"/>
    <tableColumn id="5" name="Amount" dataDxfId="6280" dataCellStyle="40% - Accent6"/>
  </tableColumns>
  <tableStyleInfo name="TableStyleLight18" showFirstColumn="0" showLastColumn="0" showRowStripes="1" showColumnStripes="0"/>
</table>
</file>

<file path=xl/tables/table160.xml><?xml version="1.0" encoding="utf-8"?>
<table xmlns="http://schemas.openxmlformats.org/spreadsheetml/2006/main" id="160" name="Demolition_20" displayName="Demolition_20" ref="A125:D140" totalsRowShown="0" headerRowDxfId="5135" dataDxfId="5133" headerRowBorderDxfId="5134" tableBorderDxfId="5132" headerRowCellStyle="40% - Accent6">
  <autoFilter ref="A125:D140"/>
  <tableColumns count="4">
    <tableColumn id="1" name="Expense" dataDxfId="5131"/>
    <tableColumn id="2" name="Description" dataDxfId="5130"/>
    <tableColumn id="4" name="Label Name" dataDxfId="5129"/>
    <tableColumn id="5" name="Amount" dataDxfId="5128" dataCellStyle="40% - Accent6"/>
  </tableColumns>
  <tableStyleInfo name="TableStyleLight18" showFirstColumn="0" showLastColumn="0" showRowStripes="1" showColumnStripes="0"/>
</table>
</file>

<file path=xl/tables/table161.xml><?xml version="1.0" encoding="utf-8"?>
<table xmlns="http://schemas.openxmlformats.org/spreadsheetml/2006/main" id="161" name="Rehab_20" displayName="Rehab_20" ref="A144:D159" totalsRowShown="0" headerRowDxfId="5127" dataDxfId="5125" headerRowBorderDxfId="5126" tableBorderDxfId="5124" headerRowCellStyle="40% - Accent6">
  <autoFilter ref="A144:D159"/>
  <tableColumns count="4">
    <tableColumn id="1" name="Expense" dataDxfId="5123"/>
    <tableColumn id="2" name="Description" dataDxfId="5122"/>
    <tableColumn id="4" name="Label Name" dataDxfId="5121"/>
    <tableColumn id="5" name="Amount" dataDxfId="5120" dataCellStyle="40% - Accent6"/>
  </tableColumns>
  <tableStyleInfo name="TableStyleLight18" showFirstColumn="0" showLastColumn="0" showRowStripes="1" showColumnStripes="0"/>
</table>
</file>

<file path=xl/tables/table162.xml><?xml version="1.0" encoding="utf-8"?>
<table xmlns="http://schemas.openxmlformats.org/spreadsheetml/2006/main" id="162" name="Grass_21" displayName="Grass_21" ref="A11:D26" totalsRowShown="0" headerRowDxfId="5119" dataDxfId="5117" headerRowBorderDxfId="5118" tableBorderDxfId="5116" headerRowCellStyle="40% - Accent6">
  <autoFilter ref="A11:D26"/>
  <tableColumns count="4">
    <tableColumn id="1" name="Expense" dataDxfId="5115"/>
    <tableColumn id="2" name="Description" dataDxfId="5114"/>
    <tableColumn id="4" name="Label Name" dataDxfId="5113"/>
    <tableColumn id="5" name="Amount" dataDxfId="5112" dataCellStyle="20% - Accent6"/>
  </tableColumns>
  <tableStyleInfo name="TableStyleLight18" showFirstColumn="0" showLastColumn="0" showRowStripes="1" showColumnStripes="0"/>
</table>
</file>

<file path=xl/tables/table163.xml><?xml version="1.0" encoding="utf-8"?>
<table xmlns="http://schemas.openxmlformats.org/spreadsheetml/2006/main" id="163" name="Tree_21" displayName="Tree_21" ref="A30:D45" totalsRowShown="0" headerRowDxfId="5111" dataDxfId="5109" headerRowBorderDxfId="5110" tableBorderDxfId="5108" headerRowCellStyle="40% - Accent6">
  <autoFilter ref="A30:D45"/>
  <tableColumns count="4">
    <tableColumn id="1" name="Expense" dataDxfId="5107"/>
    <tableColumn id="2" name="Description" dataDxfId="5106"/>
    <tableColumn id="4" name="Label Name" dataDxfId="5105"/>
    <tableColumn id="5" name="Amount" dataDxfId="5104" dataCellStyle="40% - Accent6"/>
  </tableColumns>
  <tableStyleInfo name="TableStyleLight18" showFirstColumn="0" showLastColumn="0" showRowStripes="1" showColumnStripes="0"/>
</table>
</file>

<file path=xl/tables/table164.xml><?xml version="1.0" encoding="utf-8"?>
<table xmlns="http://schemas.openxmlformats.org/spreadsheetml/2006/main" id="164" name="Pest_21" displayName="Pest_21" ref="A49:D64" totalsRowShown="0" headerRowDxfId="5103" dataDxfId="5101" headerRowBorderDxfId="5102" tableBorderDxfId="5100" headerRowCellStyle="40% - Accent6">
  <autoFilter ref="A49:D64"/>
  <tableColumns count="4">
    <tableColumn id="1" name="Expense" dataDxfId="5099"/>
    <tableColumn id="2" name="Description" dataDxfId="5098"/>
    <tableColumn id="4" name="Label Name" dataDxfId="5097"/>
    <tableColumn id="5" name="Amount" dataDxfId="5096" dataCellStyle="40% - Accent6"/>
  </tableColumns>
  <tableStyleInfo name="TableStyleLight18" showFirstColumn="0" showLastColumn="0" showRowStripes="1" showColumnStripes="0"/>
</table>
</file>

<file path=xl/tables/table165.xml><?xml version="1.0" encoding="utf-8"?>
<table xmlns="http://schemas.openxmlformats.org/spreadsheetml/2006/main" id="165" name="Garbage_21" displayName="Garbage_21" ref="A68:D83" totalsRowShown="0" headerRowDxfId="5095" dataDxfId="5093" headerRowBorderDxfId="5094" tableBorderDxfId="5092" headerRowCellStyle="40% - Accent6">
  <autoFilter ref="A68:D83"/>
  <tableColumns count="4">
    <tableColumn id="1" name="Expense" dataDxfId="5091"/>
    <tableColumn id="2" name="Description" dataDxfId="5090"/>
    <tableColumn id="4" name="Label Name" dataDxfId="5089"/>
    <tableColumn id="5" name="Amount" dataDxfId="5088" dataCellStyle="20% - Accent6"/>
  </tableColumns>
  <tableStyleInfo name="TableStyleLight18" showFirstColumn="0" showLastColumn="0" showRowStripes="1" showColumnStripes="0"/>
</table>
</file>

<file path=xl/tables/table166.xml><?xml version="1.0" encoding="utf-8"?>
<table xmlns="http://schemas.openxmlformats.org/spreadsheetml/2006/main" id="166" name="Boarding_21" displayName="Boarding_21" ref="A87:D102" totalsRowShown="0" headerRowDxfId="5087" dataDxfId="5085" headerRowBorderDxfId="5086" tableBorderDxfId="5084" headerRowCellStyle="40% - Accent6">
  <autoFilter ref="A87:D102"/>
  <tableColumns count="4">
    <tableColumn id="1" name="Expense" dataDxfId="5083"/>
    <tableColumn id="2" name="Description" dataDxfId="5082"/>
    <tableColumn id="4" name="Label Name" dataDxfId="5081"/>
    <tableColumn id="5" name="Amount" dataDxfId="5080" dataCellStyle="40% - Accent6"/>
  </tableColumns>
  <tableStyleInfo name="TableStyleLight18" showFirstColumn="0" showLastColumn="0" showRowStripes="1" showColumnStripes="0"/>
</table>
</file>

<file path=xl/tables/table167.xml><?xml version="1.0" encoding="utf-8"?>
<table xmlns="http://schemas.openxmlformats.org/spreadsheetml/2006/main" id="167" name="Fence_21" displayName="Fence_21" ref="A106:D121" totalsRowShown="0" headerRowDxfId="5079" dataDxfId="5077" headerRowBorderDxfId="5078" tableBorderDxfId="5076" headerRowCellStyle="40% - Accent6">
  <autoFilter ref="A106:D121"/>
  <tableColumns count="4">
    <tableColumn id="1" name="Expense" dataDxfId="5075"/>
    <tableColumn id="2" name="Description" dataDxfId="5074"/>
    <tableColumn id="4" name="Label Name" dataDxfId="5073"/>
    <tableColumn id="5" name="Amount" dataDxfId="5072" dataCellStyle="40% - Accent6"/>
  </tableColumns>
  <tableStyleInfo name="TableStyleLight18" showFirstColumn="0" showLastColumn="0" showRowStripes="1" showColumnStripes="0"/>
</table>
</file>

<file path=xl/tables/table168.xml><?xml version="1.0" encoding="utf-8"?>
<table xmlns="http://schemas.openxmlformats.org/spreadsheetml/2006/main" id="168" name="Demolition_21" displayName="Demolition_21" ref="A125:D140" totalsRowShown="0" headerRowDxfId="5071" dataDxfId="5069" headerRowBorderDxfId="5070" tableBorderDxfId="5068" headerRowCellStyle="40% - Accent6">
  <autoFilter ref="A125:D140"/>
  <tableColumns count="4">
    <tableColumn id="1" name="Expense" dataDxfId="5067"/>
    <tableColumn id="2" name="Description" dataDxfId="5066"/>
    <tableColumn id="4" name="Label Name" dataDxfId="5065"/>
    <tableColumn id="5" name="Amount" dataDxfId="5064" dataCellStyle="40% - Accent6"/>
  </tableColumns>
  <tableStyleInfo name="TableStyleLight18" showFirstColumn="0" showLastColumn="0" showRowStripes="1" showColumnStripes="0"/>
</table>
</file>

<file path=xl/tables/table169.xml><?xml version="1.0" encoding="utf-8"?>
<table xmlns="http://schemas.openxmlformats.org/spreadsheetml/2006/main" id="169" name="Rehab_21" displayName="Rehab_21" ref="A144:D159" totalsRowShown="0" headerRowDxfId="5063" dataDxfId="5061" headerRowBorderDxfId="5062" tableBorderDxfId="5060" headerRowCellStyle="40% - Accent6">
  <autoFilter ref="A144:D159"/>
  <tableColumns count="4">
    <tableColumn id="1" name="Expense" dataDxfId="5059"/>
    <tableColumn id="2" name="Description" dataDxfId="5058"/>
    <tableColumn id="4" name="Label Name" dataDxfId="5057"/>
    <tableColumn id="5" name="Amount" dataDxfId="5056" dataCellStyle="40% - Accent6"/>
  </tableColumns>
  <tableStyleInfo name="TableStyleLight18" showFirstColumn="0" showLastColumn="0" showRowStripes="1" showColumnStripes="0"/>
</table>
</file>

<file path=xl/tables/table17.xml><?xml version="1.0" encoding="utf-8"?>
<table xmlns="http://schemas.openxmlformats.org/spreadsheetml/2006/main" id="82" name="Rehab_2" displayName="Rehab_2" ref="A144:D159" totalsRowShown="0" headerRowDxfId="6279" dataDxfId="6277" headerRowBorderDxfId="6278" tableBorderDxfId="6276" headerRowCellStyle="40% - Accent6">
  <autoFilter ref="A144:D159"/>
  <tableColumns count="4">
    <tableColumn id="1" name="Expense" dataDxfId="6275"/>
    <tableColumn id="2" name="Description" dataDxfId="6274"/>
    <tableColumn id="4" name="Label Name" dataDxfId="6273"/>
    <tableColumn id="5" name="Amount" dataDxfId="6272" dataCellStyle="40% - Accent6"/>
  </tableColumns>
  <tableStyleInfo name="TableStyleLight18" showFirstColumn="0" showLastColumn="0" showRowStripes="1" showColumnStripes="0"/>
</table>
</file>

<file path=xl/tables/table170.xml><?xml version="1.0" encoding="utf-8"?>
<table xmlns="http://schemas.openxmlformats.org/spreadsheetml/2006/main" id="170" name="Grass_22" displayName="Grass_22" ref="A11:D26" totalsRowShown="0" headerRowDxfId="5055" dataDxfId="5053" headerRowBorderDxfId="5054" tableBorderDxfId="5052" headerRowCellStyle="40% - Accent6">
  <autoFilter ref="A11:D26"/>
  <tableColumns count="4">
    <tableColumn id="1" name="Expense" dataDxfId="5051"/>
    <tableColumn id="2" name="Description" dataDxfId="5050"/>
    <tableColumn id="4" name="Label Name" dataDxfId="5049"/>
    <tableColumn id="5" name="Amount" dataDxfId="5048" dataCellStyle="20% - Accent6"/>
  </tableColumns>
  <tableStyleInfo name="TableStyleLight18" showFirstColumn="0" showLastColumn="0" showRowStripes="1" showColumnStripes="0"/>
</table>
</file>

<file path=xl/tables/table171.xml><?xml version="1.0" encoding="utf-8"?>
<table xmlns="http://schemas.openxmlformats.org/spreadsheetml/2006/main" id="171" name="Tree_22" displayName="Tree_22" ref="A30:D45" totalsRowShown="0" headerRowDxfId="5047" dataDxfId="5045" headerRowBorderDxfId="5046" tableBorderDxfId="5044" headerRowCellStyle="40% - Accent6">
  <autoFilter ref="A30:D45"/>
  <tableColumns count="4">
    <tableColumn id="1" name="Expense" dataDxfId="5043"/>
    <tableColumn id="2" name="Description" dataDxfId="5042"/>
    <tableColumn id="4" name="Label Name" dataDxfId="5041"/>
    <tableColumn id="5" name="Amount" dataDxfId="5040" dataCellStyle="40% - Accent6"/>
  </tableColumns>
  <tableStyleInfo name="TableStyleLight18" showFirstColumn="0" showLastColumn="0" showRowStripes="1" showColumnStripes="0"/>
</table>
</file>

<file path=xl/tables/table172.xml><?xml version="1.0" encoding="utf-8"?>
<table xmlns="http://schemas.openxmlformats.org/spreadsheetml/2006/main" id="172" name="Pest_22" displayName="Pest_22" ref="A49:D64" totalsRowShown="0" headerRowDxfId="5039" dataDxfId="5037" headerRowBorderDxfId="5038" tableBorderDxfId="5036" headerRowCellStyle="40% - Accent6">
  <autoFilter ref="A49:D64"/>
  <tableColumns count="4">
    <tableColumn id="1" name="Expense" dataDxfId="5035"/>
    <tableColumn id="2" name="Description" dataDxfId="5034"/>
    <tableColumn id="4" name="Label Name" dataDxfId="5033"/>
    <tableColumn id="5" name="Amount" dataDxfId="5032" dataCellStyle="40% - Accent6"/>
  </tableColumns>
  <tableStyleInfo name="TableStyleLight18" showFirstColumn="0" showLastColumn="0" showRowStripes="1" showColumnStripes="0"/>
</table>
</file>

<file path=xl/tables/table173.xml><?xml version="1.0" encoding="utf-8"?>
<table xmlns="http://schemas.openxmlformats.org/spreadsheetml/2006/main" id="173" name="Garbage_22" displayName="Garbage_22" ref="A68:D83" totalsRowShown="0" headerRowDxfId="5031" dataDxfId="5029" headerRowBorderDxfId="5030" tableBorderDxfId="5028" headerRowCellStyle="40% - Accent6">
  <autoFilter ref="A68:D83"/>
  <tableColumns count="4">
    <tableColumn id="1" name="Expense" dataDxfId="5027"/>
    <tableColumn id="2" name="Description" dataDxfId="5026"/>
    <tableColumn id="4" name="Label Name" dataDxfId="5025"/>
    <tableColumn id="5" name="Amount" dataDxfId="5024" dataCellStyle="20% - Accent6"/>
  </tableColumns>
  <tableStyleInfo name="TableStyleLight18" showFirstColumn="0" showLastColumn="0" showRowStripes="1" showColumnStripes="0"/>
</table>
</file>

<file path=xl/tables/table174.xml><?xml version="1.0" encoding="utf-8"?>
<table xmlns="http://schemas.openxmlformats.org/spreadsheetml/2006/main" id="174" name="Boarding_22" displayName="Boarding_22" ref="A87:D102" totalsRowShown="0" headerRowDxfId="5023" dataDxfId="5021" headerRowBorderDxfId="5022" tableBorderDxfId="5020" headerRowCellStyle="40% - Accent6">
  <autoFilter ref="A87:D102"/>
  <tableColumns count="4">
    <tableColumn id="1" name="Expense" dataDxfId="5019"/>
    <tableColumn id="2" name="Description" dataDxfId="5018"/>
    <tableColumn id="4" name="Label Name" dataDxfId="5017"/>
    <tableColumn id="5" name="Amount" dataDxfId="5016" dataCellStyle="40% - Accent6"/>
  </tableColumns>
  <tableStyleInfo name="TableStyleLight18" showFirstColumn="0" showLastColumn="0" showRowStripes="1" showColumnStripes="0"/>
</table>
</file>

<file path=xl/tables/table175.xml><?xml version="1.0" encoding="utf-8"?>
<table xmlns="http://schemas.openxmlformats.org/spreadsheetml/2006/main" id="175" name="Fence_22" displayName="Fence_22" ref="A106:D121" totalsRowShown="0" headerRowDxfId="5015" dataDxfId="5013" headerRowBorderDxfId="5014" tableBorderDxfId="5012" headerRowCellStyle="40% - Accent6">
  <autoFilter ref="A106:D121"/>
  <tableColumns count="4">
    <tableColumn id="1" name="Expense" dataDxfId="5011"/>
    <tableColumn id="2" name="Description" dataDxfId="5010"/>
    <tableColumn id="4" name="Label Name" dataDxfId="5009"/>
    <tableColumn id="5" name="Amount" dataDxfId="5008" dataCellStyle="40% - Accent6"/>
  </tableColumns>
  <tableStyleInfo name="TableStyleLight18" showFirstColumn="0" showLastColumn="0" showRowStripes="1" showColumnStripes="0"/>
</table>
</file>

<file path=xl/tables/table176.xml><?xml version="1.0" encoding="utf-8"?>
<table xmlns="http://schemas.openxmlformats.org/spreadsheetml/2006/main" id="176" name="Demolition_22" displayName="Demolition_22" ref="A125:D140" totalsRowShown="0" headerRowDxfId="5007" dataDxfId="5005" headerRowBorderDxfId="5006" tableBorderDxfId="5004" headerRowCellStyle="40% - Accent6">
  <autoFilter ref="A125:D140"/>
  <tableColumns count="4">
    <tableColumn id="1" name="Expense" dataDxfId="5003"/>
    <tableColumn id="2" name="Description" dataDxfId="5002"/>
    <tableColumn id="4" name="Label Name" dataDxfId="5001"/>
    <tableColumn id="5" name="Amount" dataDxfId="5000" dataCellStyle="40% - Accent6"/>
  </tableColumns>
  <tableStyleInfo name="TableStyleLight18" showFirstColumn="0" showLastColumn="0" showRowStripes="1" showColumnStripes="0"/>
</table>
</file>

<file path=xl/tables/table177.xml><?xml version="1.0" encoding="utf-8"?>
<table xmlns="http://schemas.openxmlformats.org/spreadsheetml/2006/main" id="177" name="Rehab_22" displayName="Rehab_22" ref="A144:D159" totalsRowShown="0" headerRowDxfId="4999" dataDxfId="4997" headerRowBorderDxfId="4998" tableBorderDxfId="4996" headerRowCellStyle="40% - Accent6">
  <autoFilter ref="A144:D159"/>
  <tableColumns count="4">
    <tableColumn id="1" name="Expense" dataDxfId="4995"/>
    <tableColumn id="2" name="Description" dataDxfId="4994"/>
    <tableColumn id="4" name="Label Name" dataDxfId="4993"/>
    <tableColumn id="5" name="Amount" dataDxfId="4992" dataCellStyle="40% - Accent6"/>
  </tableColumns>
  <tableStyleInfo name="TableStyleLight18" showFirstColumn="0" showLastColumn="0" showRowStripes="1" showColumnStripes="0"/>
</table>
</file>

<file path=xl/tables/table178.xml><?xml version="1.0" encoding="utf-8"?>
<table xmlns="http://schemas.openxmlformats.org/spreadsheetml/2006/main" id="178" name="Grass_23" displayName="Grass_23" ref="A11:D26" totalsRowShown="0" headerRowDxfId="4991" dataDxfId="4989" headerRowBorderDxfId="4990" tableBorderDxfId="4988" headerRowCellStyle="40% - Accent6">
  <autoFilter ref="A11:D26"/>
  <tableColumns count="4">
    <tableColumn id="1" name="Expense" dataDxfId="4987"/>
    <tableColumn id="2" name="Description" dataDxfId="4986"/>
    <tableColumn id="4" name="Label Name" dataDxfId="4985"/>
    <tableColumn id="5" name="Amount" dataDxfId="4984" dataCellStyle="20% - Accent6"/>
  </tableColumns>
  <tableStyleInfo name="TableStyleLight18" showFirstColumn="0" showLastColumn="0" showRowStripes="1" showColumnStripes="0"/>
</table>
</file>

<file path=xl/tables/table179.xml><?xml version="1.0" encoding="utf-8"?>
<table xmlns="http://schemas.openxmlformats.org/spreadsheetml/2006/main" id="179" name="Tree_23" displayName="Tree_23" ref="A30:D45" totalsRowShown="0" headerRowDxfId="4983" dataDxfId="4981" headerRowBorderDxfId="4982" tableBorderDxfId="4980" headerRowCellStyle="40% - Accent6">
  <autoFilter ref="A30:D45"/>
  <tableColumns count="4">
    <tableColumn id="1" name="Expense" dataDxfId="4979"/>
    <tableColumn id="2" name="Description" dataDxfId="4978"/>
    <tableColumn id="4" name="Label Name" dataDxfId="4977"/>
    <tableColumn id="5" name="Amount" dataDxfId="4976" dataCellStyle="40% - Accent6"/>
  </tableColumns>
  <tableStyleInfo name="TableStyleLight18" showFirstColumn="0" showLastColumn="0" showRowStripes="1" showColumnStripes="0"/>
</table>
</file>

<file path=xl/tables/table18.xml><?xml version="1.0" encoding="utf-8"?>
<table xmlns="http://schemas.openxmlformats.org/spreadsheetml/2006/main" id="83" name="Grass_3" displayName="Grass_3" ref="A11:D26" totalsRowShown="0" headerRowDxfId="6271" dataDxfId="6269" headerRowBorderDxfId="6270" tableBorderDxfId="6268" headerRowCellStyle="40% - Accent6">
  <autoFilter ref="A11:D26"/>
  <tableColumns count="4">
    <tableColumn id="1" name="Expense" dataDxfId="6267"/>
    <tableColumn id="2" name="Description" dataDxfId="6266"/>
    <tableColumn id="4" name="Label Name" dataDxfId="6265"/>
    <tableColumn id="5" name="Amount" dataDxfId="6264" dataCellStyle="20% - Accent6"/>
  </tableColumns>
  <tableStyleInfo name="TableStyleLight18" showFirstColumn="0" showLastColumn="0" showRowStripes="1" showColumnStripes="0"/>
</table>
</file>

<file path=xl/tables/table180.xml><?xml version="1.0" encoding="utf-8"?>
<table xmlns="http://schemas.openxmlformats.org/spreadsheetml/2006/main" id="180" name="Pest_23" displayName="Pest_23" ref="A49:D64" totalsRowShown="0" headerRowDxfId="4975" dataDxfId="4973" headerRowBorderDxfId="4974" tableBorderDxfId="4972" headerRowCellStyle="40% - Accent6">
  <autoFilter ref="A49:D64"/>
  <tableColumns count="4">
    <tableColumn id="1" name="Expense" dataDxfId="4971"/>
    <tableColumn id="2" name="Description" dataDxfId="4970"/>
    <tableColumn id="4" name="Label Name" dataDxfId="4969"/>
    <tableColumn id="5" name="Amount" dataDxfId="4968" dataCellStyle="40% - Accent6"/>
  </tableColumns>
  <tableStyleInfo name="TableStyleLight18" showFirstColumn="0" showLastColumn="0" showRowStripes="1" showColumnStripes="0"/>
</table>
</file>

<file path=xl/tables/table181.xml><?xml version="1.0" encoding="utf-8"?>
<table xmlns="http://schemas.openxmlformats.org/spreadsheetml/2006/main" id="181" name="Garbage_23" displayName="Garbage_23" ref="A68:D83" totalsRowShown="0" headerRowDxfId="4967" dataDxfId="4965" headerRowBorderDxfId="4966" tableBorderDxfId="4964" headerRowCellStyle="40% - Accent6">
  <autoFilter ref="A68:D83"/>
  <tableColumns count="4">
    <tableColumn id="1" name="Expense" dataDxfId="4963"/>
    <tableColumn id="2" name="Description" dataDxfId="4962"/>
    <tableColumn id="4" name="Label Name" dataDxfId="4961"/>
    <tableColumn id="5" name="Amount" dataDxfId="4960" dataCellStyle="20% - Accent6"/>
  </tableColumns>
  <tableStyleInfo name="TableStyleLight18" showFirstColumn="0" showLastColumn="0" showRowStripes="1" showColumnStripes="0"/>
</table>
</file>

<file path=xl/tables/table182.xml><?xml version="1.0" encoding="utf-8"?>
<table xmlns="http://schemas.openxmlformats.org/spreadsheetml/2006/main" id="182" name="Boarding_23" displayName="Boarding_23" ref="A87:D102" totalsRowShown="0" headerRowDxfId="4959" dataDxfId="4957" headerRowBorderDxfId="4958" tableBorderDxfId="4956" headerRowCellStyle="40% - Accent6">
  <autoFilter ref="A87:D102"/>
  <tableColumns count="4">
    <tableColumn id="1" name="Expense" dataDxfId="4955"/>
    <tableColumn id="2" name="Description" dataDxfId="4954"/>
    <tableColumn id="4" name="Label Name" dataDxfId="4953"/>
    <tableColumn id="5" name="Amount" dataDxfId="4952" dataCellStyle="40% - Accent6"/>
  </tableColumns>
  <tableStyleInfo name="TableStyleLight18" showFirstColumn="0" showLastColumn="0" showRowStripes="1" showColumnStripes="0"/>
</table>
</file>

<file path=xl/tables/table183.xml><?xml version="1.0" encoding="utf-8"?>
<table xmlns="http://schemas.openxmlformats.org/spreadsheetml/2006/main" id="183" name="Fence_23" displayName="Fence_23" ref="A106:D121" totalsRowShown="0" headerRowDxfId="4951" dataDxfId="4949" headerRowBorderDxfId="4950" tableBorderDxfId="4948" headerRowCellStyle="40% - Accent6">
  <autoFilter ref="A106:D121"/>
  <tableColumns count="4">
    <tableColumn id="1" name="Expense" dataDxfId="4947"/>
    <tableColumn id="2" name="Description" dataDxfId="4946"/>
    <tableColumn id="4" name="Label Name" dataDxfId="4945"/>
    <tableColumn id="5" name="Amount" dataDxfId="4944" dataCellStyle="40% - Accent6"/>
  </tableColumns>
  <tableStyleInfo name="TableStyleLight18" showFirstColumn="0" showLastColumn="0" showRowStripes="1" showColumnStripes="0"/>
</table>
</file>

<file path=xl/tables/table184.xml><?xml version="1.0" encoding="utf-8"?>
<table xmlns="http://schemas.openxmlformats.org/spreadsheetml/2006/main" id="184" name="Demolition_23" displayName="Demolition_23" ref="A125:D140" totalsRowShown="0" headerRowDxfId="4943" dataDxfId="4941" headerRowBorderDxfId="4942" tableBorderDxfId="4940" headerRowCellStyle="40% - Accent6">
  <autoFilter ref="A125:D140"/>
  <tableColumns count="4">
    <tableColumn id="1" name="Expense" dataDxfId="4939"/>
    <tableColumn id="2" name="Description" dataDxfId="4938"/>
    <tableColumn id="4" name="Label Name" dataDxfId="4937"/>
    <tableColumn id="5" name="Amount" dataDxfId="4936" dataCellStyle="40% - Accent6"/>
  </tableColumns>
  <tableStyleInfo name="TableStyleLight18" showFirstColumn="0" showLastColumn="0" showRowStripes="1" showColumnStripes="0"/>
</table>
</file>

<file path=xl/tables/table185.xml><?xml version="1.0" encoding="utf-8"?>
<table xmlns="http://schemas.openxmlformats.org/spreadsheetml/2006/main" id="185" name="Rehab_23" displayName="Rehab_23" ref="A144:D159" totalsRowShown="0" headerRowDxfId="4935" dataDxfId="4933" headerRowBorderDxfId="4934" tableBorderDxfId="4932" headerRowCellStyle="40% - Accent6">
  <autoFilter ref="A144:D159"/>
  <tableColumns count="4">
    <tableColumn id="1" name="Expense" dataDxfId="4931"/>
    <tableColumn id="2" name="Description" dataDxfId="4930"/>
    <tableColumn id="4" name="Label Name" dataDxfId="4929"/>
    <tableColumn id="5" name="Amount" dataDxfId="4928" dataCellStyle="40% - Accent6"/>
  </tableColumns>
  <tableStyleInfo name="TableStyleLight18" showFirstColumn="0" showLastColumn="0" showRowStripes="1" showColumnStripes="0"/>
</table>
</file>

<file path=xl/tables/table186.xml><?xml version="1.0" encoding="utf-8"?>
<table xmlns="http://schemas.openxmlformats.org/spreadsheetml/2006/main" id="186" name="Grass_24" displayName="Grass_24" ref="A11:D26" totalsRowShown="0" headerRowDxfId="4927" dataDxfId="4925" headerRowBorderDxfId="4926" tableBorderDxfId="4924" headerRowCellStyle="40% - Accent6">
  <autoFilter ref="A11:D26"/>
  <tableColumns count="4">
    <tableColumn id="1" name="Expense" dataDxfId="4923"/>
    <tableColumn id="2" name="Description" dataDxfId="4922"/>
    <tableColumn id="4" name="Label Name" dataDxfId="4921"/>
    <tableColumn id="5" name="Amount" dataDxfId="4920" dataCellStyle="20% - Accent6"/>
  </tableColumns>
  <tableStyleInfo name="TableStyleLight18" showFirstColumn="0" showLastColumn="0" showRowStripes="1" showColumnStripes="0"/>
</table>
</file>

<file path=xl/tables/table187.xml><?xml version="1.0" encoding="utf-8"?>
<table xmlns="http://schemas.openxmlformats.org/spreadsheetml/2006/main" id="187" name="Tree_24" displayName="Tree_24" ref="A30:D45" totalsRowShown="0" headerRowDxfId="4919" dataDxfId="4917" headerRowBorderDxfId="4918" tableBorderDxfId="4916" headerRowCellStyle="40% - Accent6">
  <autoFilter ref="A30:D45"/>
  <tableColumns count="4">
    <tableColumn id="1" name="Expense" dataDxfId="4915"/>
    <tableColumn id="2" name="Description" dataDxfId="4914"/>
    <tableColumn id="4" name="Label Name" dataDxfId="4913"/>
    <tableColumn id="5" name="Amount" dataDxfId="4912" dataCellStyle="40% - Accent6"/>
  </tableColumns>
  <tableStyleInfo name="TableStyleLight18" showFirstColumn="0" showLastColumn="0" showRowStripes="1" showColumnStripes="0"/>
</table>
</file>

<file path=xl/tables/table188.xml><?xml version="1.0" encoding="utf-8"?>
<table xmlns="http://schemas.openxmlformats.org/spreadsheetml/2006/main" id="188" name="Pest_24" displayName="Pest_24" ref="A49:D64" totalsRowShown="0" headerRowDxfId="4911" dataDxfId="4909" headerRowBorderDxfId="4910" tableBorderDxfId="4908" headerRowCellStyle="40% - Accent6">
  <autoFilter ref="A49:D64"/>
  <tableColumns count="4">
    <tableColumn id="1" name="Expense" dataDxfId="4907"/>
    <tableColumn id="2" name="Description" dataDxfId="4906"/>
    <tableColumn id="4" name="Label Name" dataDxfId="4905"/>
    <tableColumn id="5" name="Amount" dataDxfId="4904" dataCellStyle="40% - Accent6"/>
  </tableColumns>
  <tableStyleInfo name="TableStyleLight18" showFirstColumn="0" showLastColumn="0" showRowStripes="1" showColumnStripes="0"/>
</table>
</file>

<file path=xl/tables/table189.xml><?xml version="1.0" encoding="utf-8"?>
<table xmlns="http://schemas.openxmlformats.org/spreadsheetml/2006/main" id="189" name="Garbage_24" displayName="Garbage_24" ref="A68:D83" totalsRowShown="0" headerRowDxfId="4903" dataDxfId="4901" headerRowBorderDxfId="4902" tableBorderDxfId="4900" headerRowCellStyle="40% - Accent6">
  <autoFilter ref="A68:D83"/>
  <tableColumns count="4">
    <tableColumn id="1" name="Expense" dataDxfId="4899"/>
    <tableColumn id="2" name="Description" dataDxfId="4898"/>
    <tableColumn id="4" name="Label Name" dataDxfId="4897"/>
    <tableColumn id="5" name="Amount" dataDxfId="4896" dataCellStyle="20% - Accent6"/>
  </tableColumns>
  <tableStyleInfo name="TableStyleLight18" showFirstColumn="0" showLastColumn="0" showRowStripes="1" showColumnStripes="0"/>
</table>
</file>

<file path=xl/tables/table19.xml><?xml version="1.0" encoding="utf-8"?>
<table xmlns="http://schemas.openxmlformats.org/spreadsheetml/2006/main" id="84" name="Tree_3" displayName="Tree_3" ref="A30:D45" totalsRowShown="0" headerRowDxfId="6263" dataDxfId="6261" headerRowBorderDxfId="6262" tableBorderDxfId="6260" headerRowCellStyle="40% - Accent6">
  <autoFilter ref="A30:D45"/>
  <tableColumns count="4">
    <tableColumn id="1" name="Expense" dataDxfId="6259"/>
    <tableColumn id="2" name="Description" dataDxfId="6258"/>
    <tableColumn id="4" name="Label Name" dataDxfId="6257"/>
    <tableColumn id="5" name="Amount" dataDxfId="6256" dataCellStyle="40% - Accent6"/>
  </tableColumns>
  <tableStyleInfo name="TableStyleLight18" showFirstColumn="0" showLastColumn="0" showRowStripes="1" showColumnStripes="0"/>
</table>
</file>

<file path=xl/tables/table190.xml><?xml version="1.0" encoding="utf-8"?>
<table xmlns="http://schemas.openxmlformats.org/spreadsheetml/2006/main" id="190" name="Boarding_24" displayName="Boarding_24" ref="A87:D102" totalsRowShown="0" headerRowDxfId="4895" dataDxfId="4893" headerRowBorderDxfId="4894" tableBorderDxfId="4892" headerRowCellStyle="40% - Accent6">
  <autoFilter ref="A87:D102"/>
  <tableColumns count="4">
    <tableColumn id="1" name="Expense" dataDxfId="4891"/>
    <tableColumn id="2" name="Description" dataDxfId="4890"/>
    <tableColumn id="4" name="Label Name" dataDxfId="4889"/>
    <tableColumn id="5" name="Amount" dataDxfId="4888" dataCellStyle="40% - Accent6"/>
  </tableColumns>
  <tableStyleInfo name="TableStyleLight18" showFirstColumn="0" showLastColumn="0" showRowStripes="1" showColumnStripes="0"/>
</table>
</file>

<file path=xl/tables/table191.xml><?xml version="1.0" encoding="utf-8"?>
<table xmlns="http://schemas.openxmlformats.org/spreadsheetml/2006/main" id="191" name="Fence_24" displayName="Fence_24" ref="A106:D121" totalsRowShown="0" headerRowDxfId="4887" dataDxfId="4885" headerRowBorderDxfId="4886" tableBorderDxfId="4884" headerRowCellStyle="40% - Accent6">
  <autoFilter ref="A106:D121"/>
  <tableColumns count="4">
    <tableColumn id="1" name="Expense" dataDxfId="4883"/>
    <tableColumn id="2" name="Description" dataDxfId="4882"/>
    <tableColumn id="4" name="Label Name" dataDxfId="4881"/>
    <tableColumn id="5" name="Amount" dataDxfId="4880" dataCellStyle="40% - Accent6"/>
  </tableColumns>
  <tableStyleInfo name="TableStyleLight18" showFirstColumn="0" showLastColumn="0" showRowStripes="1" showColumnStripes="0"/>
</table>
</file>

<file path=xl/tables/table192.xml><?xml version="1.0" encoding="utf-8"?>
<table xmlns="http://schemas.openxmlformats.org/spreadsheetml/2006/main" id="192" name="Demolition_24" displayName="Demolition_24" ref="A125:D140" totalsRowShown="0" headerRowDxfId="4879" dataDxfId="4877" headerRowBorderDxfId="4878" tableBorderDxfId="4876" headerRowCellStyle="40% - Accent6">
  <autoFilter ref="A125:D140"/>
  <tableColumns count="4">
    <tableColumn id="1" name="Expense" dataDxfId="4875"/>
    <tableColumn id="2" name="Description" dataDxfId="4874"/>
    <tableColumn id="4" name="Label Name" dataDxfId="4873"/>
    <tableColumn id="5" name="Amount" dataDxfId="4872" dataCellStyle="40% - Accent6"/>
  </tableColumns>
  <tableStyleInfo name="TableStyleLight18" showFirstColumn="0" showLastColumn="0" showRowStripes="1" showColumnStripes="0"/>
</table>
</file>

<file path=xl/tables/table193.xml><?xml version="1.0" encoding="utf-8"?>
<table xmlns="http://schemas.openxmlformats.org/spreadsheetml/2006/main" id="193" name="Rehab_24" displayName="Rehab_24" ref="A144:D159" totalsRowShown="0" headerRowDxfId="4871" dataDxfId="4869" headerRowBorderDxfId="4870" tableBorderDxfId="4868" headerRowCellStyle="40% - Accent6">
  <autoFilter ref="A144:D159"/>
  <tableColumns count="4">
    <tableColumn id="1" name="Expense" dataDxfId="4867"/>
    <tableColumn id="2" name="Description" dataDxfId="4866"/>
    <tableColumn id="4" name="Label Name" dataDxfId="4865"/>
    <tableColumn id="5" name="Amount" dataDxfId="4864" dataCellStyle="40% - Accent6"/>
  </tableColumns>
  <tableStyleInfo name="TableStyleLight18" showFirstColumn="0" showLastColumn="0" showRowStripes="1" showColumnStripes="0"/>
</table>
</file>

<file path=xl/tables/table194.xml><?xml version="1.0" encoding="utf-8"?>
<table xmlns="http://schemas.openxmlformats.org/spreadsheetml/2006/main" id="194" name="Grass_25" displayName="Grass_25" ref="A11:D26" totalsRowShown="0" headerRowDxfId="4863" dataDxfId="4861" headerRowBorderDxfId="4862" tableBorderDxfId="4860" headerRowCellStyle="40% - Accent6">
  <autoFilter ref="A11:D26"/>
  <tableColumns count="4">
    <tableColumn id="1" name="Expense" dataDxfId="4859"/>
    <tableColumn id="2" name="Description" dataDxfId="4858"/>
    <tableColumn id="4" name="Label Name" dataDxfId="4857"/>
    <tableColumn id="5" name="Amount" dataDxfId="4856" dataCellStyle="20% - Accent6"/>
  </tableColumns>
  <tableStyleInfo name="TableStyleLight18" showFirstColumn="0" showLastColumn="0" showRowStripes="1" showColumnStripes="0"/>
</table>
</file>

<file path=xl/tables/table195.xml><?xml version="1.0" encoding="utf-8"?>
<table xmlns="http://schemas.openxmlformats.org/spreadsheetml/2006/main" id="195" name="Tree_25" displayName="Tree_25" ref="A30:D45" totalsRowShown="0" headerRowDxfId="4855" dataDxfId="4853" headerRowBorderDxfId="4854" tableBorderDxfId="4852" headerRowCellStyle="40% - Accent6">
  <autoFilter ref="A30:D45"/>
  <tableColumns count="4">
    <tableColumn id="1" name="Expense" dataDxfId="4851"/>
    <tableColumn id="2" name="Description" dataDxfId="4850"/>
    <tableColumn id="4" name="Label Name" dataDxfId="4849"/>
    <tableColumn id="5" name="Amount" dataDxfId="4848" dataCellStyle="40% - Accent6"/>
  </tableColumns>
  <tableStyleInfo name="TableStyleLight18" showFirstColumn="0" showLastColumn="0" showRowStripes="1" showColumnStripes="0"/>
</table>
</file>

<file path=xl/tables/table196.xml><?xml version="1.0" encoding="utf-8"?>
<table xmlns="http://schemas.openxmlformats.org/spreadsheetml/2006/main" id="196" name="Pest_25" displayName="Pest_25" ref="A49:D64" totalsRowShown="0" headerRowDxfId="4847" dataDxfId="4845" headerRowBorderDxfId="4846" tableBorderDxfId="4844" headerRowCellStyle="40% - Accent6">
  <autoFilter ref="A49:D64"/>
  <tableColumns count="4">
    <tableColumn id="1" name="Expense" dataDxfId="4843"/>
    <tableColumn id="2" name="Description" dataDxfId="4842"/>
    <tableColumn id="4" name="Label Name" dataDxfId="4841"/>
    <tableColumn id="5" name="Amount" dataDxfId="4840" dataCellStyle="40% - Accent6"/>
  </tableColumns>
  <tableStyleInfo name="TableStyleLight18" showFirstColumn="0" showLastColumn="0" showRowStripes="1" showColumnStripes="0"/>
</table>
</file>

<file path=xl/tables/table197.xml><?xml version="1.0" encoding="utf-8"?>
<table xmlns="http://schemas.openxmlformats.org/spreadsheetml/2006/main" id="197" name="Garbage_25" displayName="Garbage_25" ref="A68:D83" totalsRowShown="0" headerRowDxfId="4839" dataDxfId="4837" headerRowBorderDxfId="4838" tableBorderDxfId="4836" headerRowCellStyle="40% - Accent6">
  <autoFilter ref="A68:D83"/>
  <tableColumns count="4">
    <tableColumn id="1" name="Expense" dataDxfId="4835"/>
    <tableColumn id="2" name="Description" dataDxfId="4834"/>
    <tableColumn id="4" name="Label Name" dataDxfId="4833"/>
    <tableColumn id="5" name="Amount" dataDxfId="4832" dataCellStyle="20% - Accent6"/>
  </tableColumns>
  <tableStyleInfo name="TableStyleLight18" showFirstColumn="0" showLastColumn="0" showRowStripes="1" showColumnStripes="0"/>
</table>
</file>

<file path=xl/tables/table198.xml><?xml version="1.0" encoding="utf-8"?>
<table xmlns="http://schemas.openxmlformats.org/spreadsheetml/2006/main" id="198" name="Boarding_25" displayName="Boarding_25" ref="A87:D102" totalsRowShown="0" headerRowDxfId="4831" dataDxfId="4829" headerRowBorderDxfId="4830" tableBorderDxfId="4828" headerRowCellStyle="40% - Accent6">
  <autoFilter ref="A87:D102"/>
  <tableColumns count="4">
    <tableColumn id="1" name="Expense" dataDxfId="4827"/>
    <tableColumn id="2" name="Description" dataDxfId="4826"/>
    <tableColumn id="4" name="Label Name" dataDxfId="4825"/>
    <tableColumn id="5" name="Amount" dataDxfId="4824" dataCellStyle="40% - Accent6"/>
  </tableColumns>
  <tableStyleInfo name="TableStyleLight18" showFirstColumn="0" showLastColumn="0" showRowStripes="1" showColumnStripes="0"/>
</table>
</file>

<file path=xl/tables/table199.xml><?xml version="1.0" encoding="utf-8"?>
<table xmlns="http://schemas.openxmlformats.org/spreadsheetml/2006/main" id="199" name="Fence_25" displayName="Fence_25" ref="A106:D121" totalsRowShown="0" headerRowDxfId="4823" dataDxfId="4821" headerRowBorderDxfId="4822" tableBorderDxfId="4820" headerRowCellStyle="40% - Accent6">
  <autoFilter ref="A106:D121"/>
  <tableColumns count="4">
    <tableColumn id="1" name="Expense" dataDxfId="4819"/>
    <tableColumn id="2" name="Description" dataDxfId="4818"/>
    <tableColumn id="4" name="Label Name" dataDxfId="4817"/>
    <tableColumn id="5" name="Amount" dataDxfId="4816" dataCellStyle="40% - Accent6"/>
  </tableColumns>
  <tableStyleInfo name="TableStyleLight18" showFirstColumn="0" showLastColumn="0" showRowStripes="1" showColumnStripes="0"/>
</table>
</file>

<file path=xl/tables/table2.xml><?xml version="1.0" encoding="utf-8"?>
<table xmlns="http://schemas.openxmlformats.org/spreadsheetml/2006/main" id="2" name="Grass_1" displayName="Grass_1" ref="A11:D26" totalsRowShown="0" headerRowDxfId="6399" dataDxfId="6397" headerRowBorderDxfId="6398" tableBorderDxfId="6396" headerRowCellStyle="40% - Accent6">
  <autoFilter ref="A11:D26"/>
  <tableColumns count="4">
    <tableColumn id="1" name="Expense" dataDxfId="6395"/>
    <tableColumn id="2" name="Description" dataDxfId="6394"/>
    <tableColumn id="4" name="Label Name" dataDxfId="6393"/>
    <tableColumn id="5" name="Amount" dataDxfId="6392" dataCellStyle="20% - Accent6"/>
  </tableColumns>
  <tableStyleInfo name="TableStyleLight18" showFirstColumn="0" showLastColumn="0" showRowStripes="1" showColumnStripes="0"/>
</table>
</file>

<file path=xl/tables/table20.xml><?xml version="1.0" encoding="utf-8"?>
<table xmlns="http://schemas.openxmlformats.org/spreadsheetml/2006/main" id="85" name="Pest_3" displayName="Pest_3" ref="A49:D64" totalsRowShown="0" headerRowDxfId="6255" dataDxfId="6253" headerRowBorderDxfId="6254" tableBorderDxfId="6252" headerRowCellStyle="40% - Accent6">
  <autoFilter ref="A49:D64"/>
  <tableColumns count="4">
    <tableColumn id="1" name="Expense" dataDxfId="6251"/>
    <tableColumn id="2" name="Description" dataDxfId="6250"/>
    <tableColumn id="4" name="Label Name" dataDxfId="6249"/>
    <tableColumn id="5" name="Amount" dataDxfId="6248" dataCellStyle="40% - Accent6"/>
  </tableColumns>
  <tableStyleInfo name="TableStyleLight18" showFirstColumn="0" showLastColumn="0" showRowStripes="1" showColumnStripes="0"/>
</table>
</file>

<file path=xl/tables/table200.xml><?xml version="1.0" encoding="utf-8"?>
<table xmlns="http://schemas.openxmlformats.org/spreadsheetml/2006/main" id="200" name="Demolition_25" displayName="Demolition_25" ref="A125:D140" totalsRowShown="0" headerRowDxfId="4815" dataDxfId="4813" headerRowBorderDxfId="4814" tableBorderDxfId="4812" headerRowCellStyle="40% - Accent6">
  <autoFilter ref="A125:D140"/>
  <tableColumns count="4">
    <tableColumn id="1" name="Expense" dataDxfId="4811"/>
    <tableColumn id="2" name="Description" dataDxfId="4810"/>
    <tableColumn id="4" name="Label Name" dataDxfId="4809"/>
    <tableColumn id="5" name="Amount" dataDxfId="4808" dataCellStyle="40% - Accent6"/>
  </tableColumns>
  <tableStyleInfo name="TableStyleLight18" showFirstColumn="0" showLastColumn="0" showRowStripes="1" showColumnStripes="0"/>
</table>
</file>

<file path=xl/tables/table201.xml><?xml version="1.0" encoding="utf-8"?>
<table xmlns="http://schemas.openxmlformats.org/spreadsheetml/2006/main" id="201" name="Rehab_25" displayName="Rehab_25" ref="A144:D159" totalsRowShown="0" headerRowDxfId="4807" dataDxfId="4805" headerRowBorderDxfId="4806" tableBorderDxfId="4804" headerRowCellStyle="40% - Accent6">
  <autoFilter ref="A144:D159"/>
  <tableColumns count="4">
    <tableColumn id="1" name="Expense" dataDxfId="4803"/>
    <tableColumn id="2" name="Description" dataDxfId="4802"/>
    <tableColumn id="4" name="Label Name" dataDxfId="4801"/>
    <tableColumn id="5" name="Amount" dataDxfId="4800" dataCellStyle="40% - Accent6"/>
  </tableColumns>
  <tableStyleInfo name="TableStyleLight18" showFirstColumn="0" showLastColumn="0" showRowStripes="1" showColumnStripes="0"/>
</table>
</file>

<file path=xl/tables/table202.xml><?xml version="1.0" encoding="utf-8"?>
<table xmlns="http://schemas.openxmlformats.org/spreadsheetml/2006/main" id="202" name="Grass_26" displayName="Grass_26" ref="A11:D26" totalsRowShown="0" headerRowDxfId="4799" dataDxfId="4797" headerRowBorderDxfId="4798" tableBorderDxfId="4796" headerRowCellStyle="40% - Accent6">
  <autoFilter ref="A11:D26"/>
  <tableColumns count="4">
    <tableColumn id="1" name="Expense" dataDxfId="4795"/>
    <tableColumn id="2" name="Description" dataDxfId="4794"/>
    <tableColumn id="4" name="Label Name" dataDxfId="4793"/>
    <tableColumn id="5" name="Amount" dataDxfId="4792" dataCellStyle="20% - Accent6"/>
  </tableColumns>
  <tableStyleInfo name="TableStyleLight18" showFirstColumn="0" showLastColumn="0" showRowStripes="1" showColumnStripes="0"/>
</table>
</file>

<file path=xl/tables/table203.xml><?xml version="1.0" encoding="utf-8"?>
<table xmlns="http://schemas.openxmlformats.org/spreadsheetml/2006/main" id="203" name="Tree_26" displayName="Tree_26" ref="A30:D45" totalsRowShown="0" headerRowDxfId="4791" dataDxfId="4789" headerRowBorderDxfId="4790" tableBorderDxfId="4788" headerRowCellStyle="40% - Accent6">
  <autoFilter ref="A30:D45"/>
  <tableColumns count="4">
    <tableColumn id="1" name="Expense" dataDxfId="4787"/>
    <tableColumn id="2" name="Description" dataDxfId="4786"/>
    <tableColumn id="4" name="Label Name" dataDxfId="4785"/>
    <tableColumn id="5" name="Amount" dataDxfId="4784" dataCellStyle="40% - Accent6"/>
  </tableColumns>
  <tableStyleInfo name="TableStyleLight18" showFirstColumn="0" showLastColumn="0" showRowStripes="1" showColumnStripes="0"/>
</table>
</file>

<file path=xl/tables/table204.xml><?xml version="1.0" encoding="utf-8"?>
<table xmlns="http://schemas.openxmlformats.org/spreadsheetml/2006/main" id="204" name="Pest_26" displayName="Pest_26" ref="A49:D64" totalsRowShown="0" headerRowDxfId="4783" dataDxfId="4781" headerRowBorderDxfId="4782" tableBorderDxfId="4780" headerRowCellStyle="40% - Accent6">
  <autoFilter ref="A49:D64"/>
  <tableColumns count="4">
    <tableColumn id="1" name="Expense" dataDxfId="4779"/>
    <tableColumn id="2" name="Description" dataDxfId="4778"/>
    <tableColumn id="4" name="Label Name" dataDxfId="4777"/>
    <tableColumn id="5" name="Amount" dataDxfId="4776" dataCellStyle="40% - Accent6"/>
  </tableColumns>
  <tableStyleInfo name="TableStyleLight18" showFirstColumn="0" showLastColumn="0" showRowStripes="1" showColumnStripes="0"/>
</table>
</file>

<file path=xl/tables/table205.xml><?xml version="1.0" encoding="utf-8"?>
<table xmlns="http://schemas.openxmlformats.org/spreadsheetml/2006/main" id="205" name="Garbage_26" displayName="Garbage_26" ref="A68:D83" totalsRowShown="0" headerRowDxfId="4775" dataDxfId="4773" headerRowBorderDxfId="4774" tableBorderDxfId="4772" headerRowCellStyle="40% - Accent6">
  <autoFilter ref="A68:D83"/>
  <tableColumns count="4">
    <tableColumn id="1" name="Expense" dataDxfId="4771"/>
    <tableColumn id="2" name="Description" dataDxfId="4770"/>
    <tableColumn id="4" name="Label Name" dataDxfId="4769"/>
    <tableColumn id="5" name="Amount" dataDxfId="4768" dataCellStyle="20% - Accent6"/>
  </tableColumns>
  <tableStyleInfo name="TableStyleLight18" showFirstColumn="0" showLastColumn="0" showRowStripes="1" showColumnStripes="0"/>
</table>
</file>

<file path=xl/tables/table206.xml><?xml version="1.0" encoding="utf-8"?>
<table xmlns="http://schemas.openxmlformats.org/spreadsheetml/2006/main" id="206" name="Boarding_26" displayName="Boarding_26" ref="A87:D102" totalsRowShown="0" headerRowDxfId="4767" dataDxfId="4765" headerRowBorderDxfId="4766" tableBorderDxfId="4764" headerRowCellStyle="40% - Accent6">
  <autoFilter ref="A87:D102"/>
  <tableColumns count="4">
    <tableColumn id="1" name="Expense" dataDxfId="4763"/>
    <tableColumn id="2" name="Description" dataDxfId="4762"/>
    <tableColumn id="4" name="Label Name" dataDxfId="4761"/>
    <tableColumn id="5" name="Amount" dataDxfId="4760" dataCellStyle="40% - Accent6"/>
  </tableColumns>
  <tableStyleInfo name="TableStyleLight18" showFirstColumn="0" showLastColumn="0" showRowStripes="1" showColumnStripes="0"/>
</table>
</file>

<file path=xl/tables/table207.xml><?xml version="1.0" encoding="utf-8"?>
<table xmlns="http://schemas.openxmlformats.org/spreadsheetml/2006/main" id="207" name="Fence_26" displayName="Fence_26" ref="A106:D121" totalsRowShown="0" headerRowDxfId="4759" dataDxfId="4757" headerRowBorderDxfId="4758" tableBorderDxfId="4756" headerRowCellStyle="40% - Accent6">
  <autoFilter ref="A106:D121"/>
  <tableColumns count="4">
    <tableColumn id="1" name="Expense" dataDxfId="4755"/>
    <tableColumn id="2" name="Description" dataDxfId="4754"/>
    <tableColumn id="4" name="Label Name" dataDxfId="4753"/>
    <tableColumn id="5" name="Amount" dataDxfId="4752" dataCellStyle="40% - Accent6"/>
  </tableColumns>
  <tableStyleInfo name="TableStyleLight18" showFirstColumn="0" showLastColumn="0" showRowStripes="1" showColumnStripes="0"/>
</table>
</file>

<file path=xl/tables/table208.xml><?xml version="1.0" encoding="utf-8"?>
<table xmlns="http://schemas.openxmlformats.org/spreadsheetml/2006/main" id="208" name="Demolition_26" displayName="Demolition_26" ref="A125:D140" totalsRowShown="0" headerRowDxfId="4751" dataDxfId="4749" headerRowBorderDxfId="4750" tableBorderDxfId="4748" headerRowCellStyle="40% - Accent6">
  <autoFilter ref="A125:D140"/>
  <tableColumns count="4">
    <tableColumn id="1" name="Expense" dataDxfId="4747"/>
    <tableColumn id="2" name="Description" dataDxfId="4746"/>
    <tableColumn id="4" name="Label Name" dataDxfId="4745"/>
    <tableColumn id="5" name="Amount" dataDxfId="4744" dataCellStyle="40% - Accent6"/>
  </tableColumns>
  <tableStyleInfo name="TableStyleLight18" showFirstColumn="0" showLastColumn="0" showRowStripes="1" showColumnStripes="0"/>
</table>
</file>

<file path=xl/tables/table209.xml><?xml version="1.0" encoding="utf-8"?>
<table xmlns="http://schemas.openxmlformats.org/spreadsheetml/2006/main" id="209" name="Rehab_26" displayName="Rehab_26" ref="A144:D159" totalsRowShown="0" headerRowDxfId="4743" dataDxfId="4741" headerRowBorderDxfId="4742" tableBorderDxfId="4740" headerRowCellStyle="40% - Accent6">
  <autoFilter ref="A144:D159"/>
  <tableColumns count="4">
    <tableColumn id="1" name="Expense" dataDxfId="4739"/>
    <tableColumn id="2" name="Description" dataDxfId="4738"/>
    <tableColumn id="4" name="Label Name" dataDxfId="4737"/>
    <tableColumn id="5" name="Amount" dataDxfId="4736" dataCellStyle="40% - Accent6"/>
  </tableColumns>
  <tableStyleInfo name="TableStyleLight18" showFirstColumn="0" showLastColumn="0" showRowStripes="1" showColumnStripes="0"/>
</table>
</file>

<file path=xl/tables/table21.xml><?xml version="1.0" encoding="utf-8"?>
<table xmlns="http://schemas.openxmlformats.org/spreadsheetml/2006/main" id="86" name="Garbage_3" displayName="Garbage_3" ref="A68:D83" totalsRowShown="0" headerRowDxfId="6247" dataDxfId="6245" headerRowBorderDxfId="6246" tableBorderDxfId="6244" headerRowCellStyle="40% - Accent6">
  <autoFilter ref="A68:D83"/>
  <tableColumns count="4">
    <tableColumn id="1" name="Expense" dataDxfId="6243"/>
    <tableColumn id="2" name="Description" dataDxfId="6242"/>
    <tableColumn id="4" name="Label Name" dataDxfId="6241"/>
    <tableColumn id="5" name="Amount" dataDxfId="6240" dataCellStyle="20% - Accent6"/>
  </tableColumns>
  <tableStyleInfo name="TableStyleLight18" showFirstColumn="0" showLastColumn="0" showRowStripes="1" showColumnStripes="0"/>
</table>
</file>

<file path=xl/tables/table210.xml><?xml version="1.0" encoding="utf-8"?>
<table xmlns="http://schemas.openxmlformats.org/spreadsheetml/2006/main" id="210" name="Grass_27" displayName="Grass_27" ref="A11:D26" totalsRowShown="0" headerRowDxfId="4735" dataDxfId="4733" headerRowBorderDxfId="4734" tableBorderDxfId="4732" headerRowCellStyle="40% - Accent6">
  <autoFilter ref="A11:D26"/>
  <tableColumns count="4">
    <tableColumn id="1" name="Expense" dataDxfId="4731"/>
    <tableColumn id="2" name="Description" dataDxfId="4730"/>
    <tableColumn id="4" name="Label Name" dataDxfId="4729"/>
    <tableColumn id="5" name="Amount" dataDxfId="4728" dataCellStyle="20% - Accent6"/>
  </tableColumns>
  <tableStyleInfo name="TableStyleLight18" showFirstColumn="0" showLastColumn="0" showRowStripes="1" showColumnStripes="0"/>
</table>
</file>

<file path=xl/tables/table211.xml><?xml version="1.0" encoding="utf-8"?>
<table xmlns="http://schemas.openxmlformats.org/spreadsheetml/2006/main" id="211" name="Tree_27" displayName="Tree_27" ref="A30:D45" totalsRowShown="0" headerRowDxfId="4727" dataDxfId="4725" headerRowBorderDxfId="4726" tableBorderDxfId="4724" headerRowCellStyle="40% - Accent6">
  <autoFilter ref="A30:D45"/>
  <tableColumns count="4">
    <tableColumn id="1" name="Expense" dataDxfId="4723"/>
    <tableColumn id="2" name="Description" dataDxfId="4722"/>
    <tableColumn id="4" name="Label Name" dataDxfId="4721"/>
    <tableColumn id="5" name="Amount" dataDxfId="4720" dataCellStyle="40% - Accent6"/>
  </tableColumns>
  <tableStyleInfo name="TableStyleLight18" showFirstColumn="0" showLastColumn="0" showRowStripes="1" showColumnStripes="0"/>
</table>
</file>

<file path=xl/tables/table212.xml><?xml version="1.0" encoding="utf-8"?>
<table xmlns="http://schemas.openxmlformats.org/spreadsheetml/2006/main" id="212" name="Pest_27" displayName="Pest_27" ref="A49:D64" totalsRowShown="0" headerRowDxfId="4719" dataDxfId="4717" headerRowBorderDxfId="4718" tableBorderDxfId="4716" headerRowCellStyle="40% - Accent6">
  <autoFilter ref="A49:D64"/>
  <tableColumns count="4">
    <tableColumn id="1" name="Expense" dataDxfId="4715"/>
    <tableColumn id="2" name="Description" dataDxfId="4714"/>
    <tableColumn id="4" name="Label Name" dataDxfId="4713"/>
    <tableColumn id="5" name="Amount" dataDxfId="4712" dataCellStyle="40% - Accent6"/>
  </tableColumns>
  <tableStyleInfo name="TableStyleLight18" showFirstColumn="0" showLastColumn="0" showRowStripes="1" showColumnStripes="0"/>
</table>
</file>

<file path=xl/tables/table213.xml><?xml version="1.0" encoding="utf-8"?>
<table xmlns="http://schemas.openxmlformats.org/spreadsheetml/2006/main" id="213" name="Garbage_27" displayName="Garbage_27" ref="A68:D83" totalsRowShown="0" headerRowDxfId="4711" dataDxfId="4709" headerRowBorderDxfId="4710" tableBorderDxfId="4708" headerRowCellStyle="40% - Accent6">
  <autoFilter ref="A68:D83"/>
  <tableColumns count="4">
    <tableColumn id="1" name="Expense" dataDxfId="4707"/>
    <tableColumn id="2" name="Description" dataDxfId="4706"/>
    <tableColumn id="4" name="Label Name" dataDxfId="4705"/>
    <tableColumn id="5" name="Amount" dataDxfId="4704" dataCellStyle="20% - Accent6"/>
  </tableColumns>
  <tableStyleInfo name="TableStyleLight18" showFirstColumn="0" showLastColumn="0" showRowStripes="1" showColumnStripes="0"/>
</table>
</file>

<file path=xl/tables/table214.xml><?xml version="1.0" encoding="utf-8"?>
<table xmlns="http://schemas.openxmlformats.org/spreadsheetml/2006/main" id="214" name="Boarding_27" displayName="Boarding_27" ref="A87:D102" totalsRowShown="0" headerRowDxfId="4703" dataDxfId="4701" headerRowBorderDxfId="4702" tableBorderDxfId="4700" headerRowCellStyle="40% - Accent6">
  <autoFilter ref="A87:D102"/>
  <tableColumns count="4">
    <tableColumn id="1" name="Expense" dataDxfId="4699"/>
    <tableColumn id="2" name="Description" dataDxfId="4698"/>
    <tableColumn id="4" name="Label Name" dataDxfId="4697"/>
    <tableColumn id="5" name="Amount" dataDxfId="4696" dataCellStyle="40% - Accent6"/>
  </tableColumns>
  <tableStyleInfo name="TableStyleLight18" showFirstColumn="0" showLastColumn="0" showRowStripes="1" showColumnStripes="0"/>
</table>
</file>

<file path=xl/tables/table215.xml><?xml version="1.0" encoding="utf-8"?>
<table xmlns="http://schemas.openxmlformats.org/spreadsheetml/2006/main" id="215" name="Fence_27" displayName="Fence_27" ref="A106:D121" totalsRowShown="0" headerRowDxfId="4695" dataDxfId="4693" headerRowBorderDxfId="4694" tableBorderDxfId="4692" headerRowCellStyle="40% - Accent6">
  <autoFilter ref="A106:D121"/>
  <tableColumns count="4">
    <tableColumn id="1" name="Expense" dataDxfId="4691"/>
    <tableColumn id="2" name="Description" dataDxfId="4690"/>
    <tableColumn id="4" name="Label Name" dataDxfId="4689"/>
    <tableColumn id="5" name="Amount" dataDxfId="4688" dataCellStyle="40% - Accent6"/>
  </tableColumns>
  <tableStyleInfo name="TableStyleLight18" showFirstColumn="0" showLastColumn="0" showRowStripes="1" showColumnStripes="0"/>
</table>
</file>

<file path=xl/tables/table216.xml><?xml version="1.0" encoding="utf-8"?>
<table xmlns="http://schemas.openxmlformats.org/spreadsheetml/2006/main" id="216" name="Demolition_27" displayName="Demolition_27" ref="A125:D140" totalsRowShown="0" headerRowDxfId="4687" dataDxfId="4685" headerRowBorderDxfId="4686" tableBorderDxfId="4684" headerRowCellStyle="40% - Accent6">
  <autoFilter ref="A125:D140"/>
  <tableColumns count="4">
    <tableColumn id="1" name="Expense" dataDxfId="4683"/>
    <tableColumn id="2" name="Description" dataDxfId="4682"/>
    <tableColumn id="4" name="Label Name" dataDxfId="4681"/>
    <tableColumn id="5" name="Amount" dataDxfId="4680" dataCellStyle="40% - Accent6"/>
  </tableColumns>
  <tableStyleInfo name="TableStyleLight18" showFirstColumn="0" showLastColumn="0" showRowStripes="1" showColumnStripes="0"/>
</table>
</file>

<file path=xl/tables/table217.xml><?xml version="1.0" encoding="utf-8"?>
<table xmlns="http://schemas.openxmlformats.org/spreadsheetml/2006/main" id="217" name="Rehab_27" displayName="Rehab_27" ref="A144:D159" totalsRowShown="0" headerRowDxfId="4679" dataDxfId="4677" headerRowBorderDxfId="4678" tableBorderDxfId="4676" headerRowCellStyle="40% - Accent6">
  <autoFilter ref="A144:D159"/>
  <tableColumns count="4">
    <tableColumn id="1" name="Expense" dataDxfId="4675"/>
    <tableColumn id="2" name="Description" dataDxfId="4674"/>
    <tableColumn id="4" name="Label Name" dataDxfId="4673"/>
    <tableColumn id="5" name="Amount" dataDxfId="4672" dataCellStyle="40% - Accent6"/>
  </tableColumns>
  <tableStyleInfo name="TableStyleLight18" showFirstColumn="0" showLastColumn="0" showRowStripes="1" showColumnStripes="0"/>
</table>
</file>

<file path=xl/tables/table218.xml><?xml version="1.0" encoding="utf-8"?>
<table xmlns="http://schemas.openxmlformats.org/spreadsheetml/2006/main" id="218" name="Grass_28" displayName="Grass_28" ref="A11:D26" totalsRowShown="0" headerRowDxfId="4671" dataDxfId="4669" headerRowBorderDxfId="4670" tableBorderDxfId="4668" headerRowCellStyle="40% - Accent6">
  <autoFilter ref="A11:D26"/>
  <tableColumns count="4">
    <tableColumn id="1" name="Expense" dataDxfId="4667"/>
    <tableColumn id="2" name="Description" dataDxfId="4666"/>
    <tableColumn id="4" name="Label Name" dataDxfId="4665"/>
    <tableColumn id="5" name="Amount" dataDxfId="4664" dataCellStyle="20% - Accent6"/>
  </tableColumns>
  <tableStyleInfo name="TableStyleLight18" showFirstColumn="0" showLastColumn="0" showRowStripes="1" showColumnStripes="0"/>
</table>
</file>

<file path=xl/tables/table219.xml><?xml version="1.0" encoding="utf-8"?>
<table xmlns="http://schemas.openxmlformats.org/spreadsheetml/2006/main" id="219" name="Tree_28" displayName="Tree_28" ref="A30:D45" totalsRowShown="0" headerRowDxfId="4663" dataDxfId="4661" headerRowBorderDxfId="4662" tableBorderDxfId="4660" headerRowCellStyle="40% - Accent6">
  <autoFilter ref="A30:D45"/>
  <tableColumns count="4">
    <tableColumn id="1" name="Expense" dataDxfId="4659"/>
    <tableColumn id="2" name="Description" dataDxfId="4658"/>
    <tableColumn id="4" name="Label Name" dataDxfId="4657"/>
    <tableColumn id="5" name="Amount" dataDxfId="4656" dataCellStyle="40% - Accent6"/>
  </tableColumns>
  <tableStyleInfo name="TableStyleLight18" showFirstColumn="0" showLastColumn="0" showRowStripes="1" showColumnStripes="0"/>
</table>
</file>

<file path=xl/tables/table22.xml><?xml version="1.0" encoding="utf-8"?>
<table xmlns="http://schemas.openxmlformats.org/spreadsheetml/2006/main" id="87" name="Boarding_3" displayName="Boarding_3" ref="A87:D102" totalsRowShown="0" headerRowDxfId="6239" dataDxfId="6237" headerRowBorderDxfId="6238" tableBorderDxfId="6236" headerRowCellStyle="40% - Accent6">
  <autoFilter ref="A87:D102"/>
  <tableColumns count="4">
    <tableColumn id="1" name="Expense" dataDxfId="6235"/>
    <tableColumn id="2" name="Description" dataDxfId="6234"/>
    <tableColumn id="4" name="Label Name" dataDxfId="6233"/>
    <tableColumn id="5" name="Amount" dataDxfId="6232" dataCellStyle="40% - Accent6"/>
  </tableColumns>
  <tableStyleInfo name="TableStyleLight18" showFirstColumn="0" showLastColumn="0" showRowStripes="1" showColumnStripes="0"/>
</table>
</file>

<file path=xl/tables/table220.xml><?xml version="1.0" encoding="utf-8"?>
<table xmlns="http://schemas.openxmlformats.org/spreadsheetml/2006/main" id="220" name="Pest_28" displayName="Pest_28" ref="A49:D64" totalsRowShown="0" headerRowDxfId="4655" dataDxfId="4653" headerRowBorderDxfId="4654" tableBorderDxfId="4652" headerRowCellStyle="40% - Accent6">
  <autoFilter ref="A49:D64"/>
  <tableColumns count="4">
    <tableColumn id="1" name="Expense" dataDxfId="4651"/>
    <tableColumn id="2" name="Description" dataDxfId="4650"/>
    <tableColumn id="4" name="Label Name" dataDxfId="4649"/>
    <tableColumn id="5" name="Amount" dataDxfId="4648" dataCellStyle="40% - Accent6"/>
  </tableColumns>
  <tableStyleInfo name="TableStyleLight18" showFirstColumn="0" showLastColumn="0" showRowStripes="1" showColumnStripes="0"/>
</table>
</file>

<file path=xl/tables/table221.xml><?xml version="1.0" encoding="utf-8"?>
<table xmlns="http://schemas.openxmlformats.org/spreadsheetml/2006/main" id="221" name="Garbage_28" displayName="Garbage_28" ref="A68:D83" totalsRowShown="0" headerRowDxfId="4647" dataDxfId="4645" headerRowBorderDxfId="4646" tableBorderDxfId="4644" headerRowCellStyle="40% - Accent6">
  <autoFilter ref="A68:D83"/>
  <tableColumns count="4">
    <tableColumn id="1" name="Expense" dataDxfId="4643"/>
    <tableColumn id="2" name="Description" dataDxfId="4642"/>
    <tableColumn id="4" name="Label Name" dataDxfId="4641"/>
    <tableColumn id="5" name="Amount" dataDxfId="4640" dataCellStyle="20% - Accent6"/>
  </tableColumns>
  <tableStyleInfo name="TableStyleLight18" showFirstColumn="0" showLastColumn="0" showRowStripes="1" showColumnStripes="0"/>
</table>
</file>

<file path=xl/tables/table222.xml><?xml version="1.0" encoding="utf-8"?>
<table xmlns="http://schemas.openxmlformats.org/spreadsheetml/2006/main" id="222" name="Boarding_28" displayName="Boarding_28" ref="A87:D102" totalsRowShown="0" headerRowDxfId="4639" dataDxfId="4637" headerRowBorderDxfId="4638" tableBorderDxfId="4636" headerRowCellStyle="40% - Accent6">
  <autoFilter ref="A87:D102"/>
  <tableColumns count="4">
    <tableColumn id="1" name="Expense" dataDxfId="4635"/>
    <tableColumn id="2" name="Description" dataDxfId="4634"/>
    <tableColumn id="4" name="Label Name" dataDxfId="4633"/>
    <tableColumn id="5" name="Amount" dataDxfId="4632" dataCellStyle="40% - Accent6"/>
  </tableColumns>
  <tableStyleInfo name="TableStyleLight18" showFirstColumn="0" showLastColumn="0" showRowStripes="1" showColumnStripes="0"/>
</table>
</file>

<file path=xl/tables/table223.xml><?xml version="1.0" encoding="utf-8"?>
<table xmlns="http://schemas.openxmlformats.org/spreadsheetml/2006/main" id="223" name="Fence_28" displayName="Fence_28" ref="A106:D121" totalsRowShown="0" headerRowDxfId="4631" dataDxfId="4629" headerRowBorderDxfId="4630" tableBorderDxfId="4628" headerRowCellStyle="40% - Accent6">
  <autoFilter ref="A106:D121"/>
  <tableColumns count="4">
    <tableColumn id="1" name="Expense" dataDxfId="4627"/>
    <tableColumn id="2" name="Description" dataDxfId="4626"/>
    <tableColumn id="4" name="Label Name" dataDxfId="4625"/>
    <tableColumn id="5" name="Amount" dataDxfId="4624" dataCellStyle="40% - Accent6"/>
  </tableColumns>
  <tableStyleInfo name="TableStyleLight18" showFirstColumn="0" showLastColumn="0" showRowStripes="1" showColumnStripes="0"/>
</table>
</file>

<file path=xl/tables/table224.xml><?xml version="1.0" encoding="utf-8"?>
<table xmlns="http://schemas.openxmlformats.org/spreadsheetml/2006/main" id="224" name="Demolition_28" displayName="Demolition_28" ref="A125:D140" totalsRowShown="0" headerRowDxfId="4623" dataDxfId="4621" headerRowBorderDxfId="4622" tableBorderDxfId="4620" headerRowCellStyle="40% - Accent6">
  <autoFilter ref="A125:D140"/>
  <tableColumns count="4">
    <tableColumn id="1" name="Expense" dataDxfId="4619"/>
    <tableColumn id="2" name="Description" dataDxfId="4618"/>
    <tableColumn id="4" name="Label Name" dataDxfId="4617"/>
    <tableColumn id="5" name="Amount" dataDxfId="4616" dataCellStyle="40% - Accent6"/>
  </tableColumns>
  <tableStyleInfo name="TableStyleLight18" showFirstColumn="0" showLastColumn="0" showRowStripes="1" showColumnStripes="0"/>
</table>
</file>

<file path=xl/tables/table225.xml><?xml version="1.0" encoding="utf-8"?>
<table xmlns="http://schemas.openxmlformats.org/spreadsheetml/2006/main" id="225" name="Rehab_28" displayName="Rehab_28" ref="A144:D159" totalsRowShown="0" headerRowDxfId="4615" dataDxfId="4613" headerRowBorderDxfId="4614" tableBorderDxfId="4612" headerRowCellStyle="40% - Accent6">
  <autoFilter ref="A144:D159"/>
  <tableColumns count="4">
    <tableColumn id="1" name="Expense" dataDxfId="4611"/>
    <tableColumn id="2" name="Description" dataDxfId="4610"/>
    <tableColumn id="4" name="Label Name" dataDxfId="4609"/>
    <tableColumn id="5" name="Amount" dataDxfId="4608" dataCellStyle="40% - Accent6"/>
  </tableColumns>
  <tableStyleInfo name="TableStyleLight18" showFirstColumn="0" showLastColumn="0" showRowStripes="1" showColumnStripes="0"/>
</table>
</file>

<file path=xl/tables/table226.xml><?xml version="1.0" encoding="utf-8"?>
<table xmlns="http://schemas.openxmlformats.org/spreadsheetml/2006/main" id="226" name="Grass_29" displayName="Grass_29" ref="A11:D26" totalsRowShown="0" headerRowDxfId="4607" dataDxfId="4605" headerRowBorderDxfId="4606" tableBorderDxfId="4604" headerRowCellStyle="40% - Accent6">
  <autoFilter ref="A11:D26"/>
  <tableColumns count="4">
    <tableColumn id="1" name="Expense" dataDxfId="4603"/>
    <tableColumn id="2" name="Description" dataDxfId="4602"/>
    <tableColumn id="4" name="Label Name" dataDxfId="4601"/>
    <tableColumn id="5" name="Amount" dataDxfId="4600" dataCellStyle="20% - Accent6"/>
  </tableColumns>
  <tableStyleInfo name="TableStyleLight18" showFirstColumn="0" showLastColumn="0" showRowStripes="1" showColumnStripes="0"/>
</table>
</file>

<file path=xl/tables/table227.xml><?xml version="1.0" encoding="utf-8"?>
<table xmlns="http://schemas.openxmlformats.org/spreadsheetml/2006/main" id="227" name="Tree_29" displayName="Tree_29" ref="A30:D45" totalsRowShown="0" headerRowDxfId="4599" dataDxfId="4597" headerRowBorderDxfId="4598" tableBorderDxfId="4596" headerRowCellStyle="40% - Accent6">
  <autoFilter ref="A30:D45"/>
  <tableColumns count="4">
    <tableColumn id="1" name="Expense" dataDxfId="4595"/>
    <tableColumn id="2" name="Description" dataDxfId="4594"/>
    <tableColumn id="4" name="Label Name" dataDxfId="4593"/>
    <tableColumn id="5" name="Amount" dataDxfId="4592" dataCellStyle="40% - Accent6"/>
  </tableColumns>
  <tableStyleInfo name="TableStyleLight18" showFirstColumn="0" showLastColumn="0" showRowStripes="1" showColumnStripes="0"/>
</table>
</file>

<file path=xl/tables/table228.xml><?xml version="1.0" encoding="utf-8"?>
<table xmlns="http://schemas.openxmlformats.org/spreadsheetml/2006/main" id="228" name="Pest_29" displayName="Pest_29" ref="A49:D64" totalsRowShown="0" headerRowDxfId="4591" dataDxfId="4589" headerRowBorderDxfId="4590" tableBorderDxfId="4588" headerRowCellStyle="40% - Accent6">
  <autoFilter ref="A49:D64"/>
  <tableColumns count="4">
    <tableColumn id="1" name="Expense" dataDxfId="4587"/>
    <tableColumn id="2" name="Description" dataDxfId="4586"/>
    <tableColumn id="4" name="Label Name" dataDxfId="4585"/>
    <tableColumn id="5" name="Amount" dataDxfId="4584" dataCellStyle="40% - Accent6"/>
  </tableColumns>
  <tableStyleInfo name="TableStyleLight18" showFirstColumn="0" showLastColumn="0" showRowStripes="1" showColumnStripes="0"/>
</table>
</file>

<file path=xl/tables/table229.xml><?xml version="1.0" encoding="utf-8"?>
<table xmlns="http://schemas.openxmlformats.org/spreadsheetml/2006/main" id="229" name="Garbage_29" displayName="Garbage_29" ref="A68:D83" totalsRowShown="0" headerRowDxfId="4583" dataDxfId="4581" headerRowBorderDxfId="4582" tableBorderDxfId="4580" headerRowCellStyle="40% - Accent6">
  <autoFilter ref="A68:D83"/>
  <tableColumns count="4">
    <tableColumn id="1" name="Expense" dataDxfId="4579"/>
    <tableColumn id="2" name="Description" dataDxfId="4578"/>
    <tableColumn id="4" name="Label Name" dataDxfId="4577"/>
    <tableColumn id="5" name="Amount" dataDxfId="4576" dataCellStyle="20% - Accent6"/>
  </tableColumns>
  <tableStyleInfo name="TableStyleLight18" showFirstColumn="0" showLastColumn="0" showRowStripes="1" showColumnStripes="0"/>
</table>
</file>

<file path=xl/tables/table23.xml><?xml version="1.0" encoding="utf-8"?>
<table xmlns="http://schemas.openxmlformats.org/spreadsheetml/2006/main" id="88" name="Fence_3" displayName="Fence_3" ref="A106:D121" totalsRowShown="0" headerRowDxfId="6231" dataDxfId="6229" headerRowBorderDxfId="6230" tableBorderDxfId="6228" headerRowCellStyle="40% - Accent6">
  <autoFilter ref="A106:D121"/>
  <tableColumns count="4">
    <tableColumn id="1" name="Expense" dataDxfId="6227"/>
    <tableColumn id="2" name="Description" dataDxfId="6226"/>
    <tableColumn id="4" name="Label Name" dataDxfId="6225"/>
    <tableColumn id="5" name="Amount" dataDxfId="6224" dataCellStyle="40% - Accent6"/>
  </tableColumns>
  <tableStyleInfo name="TableStyleLight18" showFirstColumn="0" showLastColumn="0" showRowStripes="1" showColumnStripes="0"/>
</table>
</file>

<file path=xl/tables/table230.xml><?xml version="1.0" encoding="utf-8"?>
<table xmlns="http://schemas.openxmlformats.org/spreadsheetml/2006/main" id="230" name="Boarding_29" displayName="Boarding_29" ref="A87:D102" totalsRowShown="0" headerRowDxfId="4575" dataDxfId="4573" headerRowBorderDxfId="4574" tableBorderDxfId="4572" headerRowCellStyle="40% - Accent6">
  <autoFilter ref="A87:D102"/>
  <tableColumns count="4">
    <tableColumn id="1" name="Expense" dataDxfId="4571"/>
    <tableColumn id="2" name="Description" dataDxfId="4570"/>
    <tableColumn id="4" name="Label Name" dataDxfId="4569"/>
    <tableColumn id="5" name="Amount" dataDxfId="4568" dataCellStyle="40% - Accent6"/>
  </tableColumns>
  <tableStyleInfo name="TableStyleLight18" showFirstColumn="0" showLastColumn="0" showRowStripes="1" showColumnStripes="0"/>
</table>
</file>

<file path=xl/tables/table231.xml><?xml version="1.0" encoding="utf-8"?>
<table xmlns="http://schemas.openxmlformats.org/spreadsheetml/2006/main" id="231" name="Fence_29" displayName="Fence_29" ref="A106:D121" totalsRowShown="0" headerRowDxfId="4567" dataDxfId="4565" headerRowBorderDxfId="4566" tableBorderDxfId="4564" headerRowCellStyle="40% - Accent6">
  <autoFilter ref="A106:D121"/>
  <tableColumns count="4">
    <tableColumn id="1" name="Expense" dataDxfId="4563"/>
    <tableColumn id="2" name="Description" dataDxfId="4562"/>
    <tableColumn id="4" name="Label Name" dataDxfId="4561"/>
    <tableColumn id="5" name="Amount" dataDxfId="4560" dataCellStyle="40% - Accent6"/>
  </tableColumns>
  <tableStyleInfo name="TableStyleLight18" showFirstColumn="0" showLastColumn="0" showRowStripes="1" showColumnStripes="0"/>
</table>
</file>

<file path=xl/tables/table232.xml><?xml version="1.0" encoding="utf-8"?>
<table xmlns="http://schemas.openxmlformats.org/spreadsheetml/2006/main" id="232" name="Demolition_29" displayName="Demolition_29" ref="A125:D140" totalsRowShown="0" headerRowDxfId="4559" dataDxfId="4557" headerRowBorderDxfId="4558" tableBorderDxfId="4556" headerRowCellStyle="40% - Accent6">
  <autoFilter ref="A125:D140"/>
  <tableColumns count="4">
    <tableColumn id="1" name="Expense" dataDxfId="4555"/>
    <tableColumn id="2" name="Description" dataDxfId="4554"/>
    <tableColumn id="4" name="Label Name" dataDxfId="4553"/>
    <tableColumn id="5" name="Amount" dataDxfId="4552" dataCellStyle="40% - Accent6"/>
  </tableColumns>
  <tableStyleInfo name="TableStyleLight18" showFirstColumn="0" showLastColumn="0" showRowStripes="1" showColumnStripes="0"/>
</table>
</file>

<file path=xl/tables/table233.xml><?xml version="1.0" encoding="utf-8"?>
<table xmlns="http://schemas.openxmlformats.org/spreadsheetml/2006/main" id="233" name="Rehab_29" displayName="Rehab_29" ref="A144:D159" totalsRowShown="0" headerRowDxfId="4551" dataDxfId="4549" headerRowBorderDxfId="4550" tableBorderDxfId="4548" headerRowCellStyle="40% - Accent6">
  <autoFilter ref="A144:D159"/>
  <tableColumns count="4">
    <tableColumn id="1" name="Expense" dataDxfId="4547"/>
    <tableColumn id="2" name="Description" dataDxfId="4546"/>
    <tableColumn id="4" name="Label Name" dataDxfId="4545"/>
    <tableColumn id="5" name="Amount" dataDxfId="4544" dataCellStyle="40% - Accent6"/>
  </tableColumns>
  <tableStyleInfo name="TableStyleLight18" showFirstColumn="0" showLastColumn="0" showRowStripes="1" showColumnStripes="0"/>
</table>
</file>

<file path=xl/tables/table234.xml><?xml version="1.0" encoding="utf-8"?>
<table xmlns="http://schemas.openxmlformats.org/spreadsheetml/2006/main" id="234" name="Grass_30" displayName="Grass_30" ref="A11:D26" totalsRowShown="0" headerRowDxfId="4543" dataDxfId="4541" headerRowBorderDxfId="4542" tableBorderDxfId="4540" headerRowCellStyle="40% - Accent6">
  <autoFilter ref="A11:D26"/>
  <tableColumns count="4">
    <tableColumn id="1" name="Expense" dataDxfId="4539"/>
    <tableColumn id="2" name="Description" dataDxfId="4538"/>
    <tableColumn id="4" name="Label Name" dataDxfId="4537"/>
    <tableColumn id="5" name="Amount" dataDxfId="4536" dataCellStyle="20% - Accent6"/>
  </tableColumns>
  <tableStyleInfo name="TableStyleLight18" showFirstColumn="0" showLastColumn="0" showRowStripes="1" showColumnStripes="0"/>
</table>
</file>

<file path=xl/tables/table235.xml><?xml version="1.0" encoding="utf-8"?>
<table xmlns="http://schemas.openxmlformats.org/spreadsheetml/2006/main" id="235" name="Tree_30" displayName="Tree_30" ref="A30:D45" totalsRowShown="0" headerRowDxfId="4535" dataDxfId="4533" headerRowBorderDxfId="4534" tableBorderDxfId="4532" headerRowCellStyle="40% - Accent6">
  <autoFilter ref="A30:D45"/>
  <tableColumns count="4">
    <tableColumn id="1" name="Expense" dataDxfId="4531"/>
    <tableColumn id="2" name="Description" dataDxfId="4530"/>
    <tableColumn id="4" name="Label Name" dataDxfId="4529"/>
    <tableColumn id="5" name="Amount" dataDxfId="4528" dataCellStyle="40% - Accent6"/>
  </tableColumns>
  <tableStyleInfo name="TableStyleLight18" showFirstColumn="0" showLastColumn="0" showRowStripes="1" showColumnStripes="0"/>
</table>
</file>

<file path=xl/tables/table236.xml><?xml version="1.0" encoding="utf-8"?>
<table xmlns="http://schemas.openxmlformats.org/spreadsheetml/2006/main" id="236" name="Pest_30" displayName="Pest_30" ref="A49:D64" totalsRowShown="0" headerRowDxfId="4527" dataDxfId="4525" headerRowBorderDxfId="4526" tableBorderDxfId="4524" headerRowCellStyle="40% - Accent6">
  <autoFilter ref="A49:D64"/>
  <tableColumns count="4">
    <tableColumn id="1" name="Expense" dataDxfId="4523"/>
    <tableColumn id="2" name="Description" dataDxfId="4522"/>
    <tableColumn id="4" name="Label Name" dataDxfId="4521"/>
    <tableColumn id="5" name="Amount" dataDxfId="4520" dataCellStyle="40% - Accent6"/>
  </tableColumns>
  <tableStyleInfo name="TableStyleLight18" showFirstColumn="0" showLastColumn="0" showRowStripes="1" showColumnStripes="0"/>
</table>
</file>

<file path=xl/tables/table237.xml><?xml version="1.0" encoding="utf-8"?>
<table xmlns="http://schemas.openxmlformats.org/spreadsheetml/2006/main" id="237" name="Garbage_30" displayName="Garbage_30" ref="A68:D83" totalsRowShown="0" headerRowDxfId="4519" dataDxfId="4517" headerRowBorderDxfId="4518" tableBorderDxfId="4516" headerRowCellStyle="40% - Accent6">
  <autoFilter ref="A68:D83"/>
  <tableColumns count="4">
    <tableColumn id="1" name="Expense" dataDxfId="4515"/>
    <tableColumn id="2" name="Description" dataDxfId="4514"/>
    <tableColumn id="4" name="Label Name" dataDxfId="4513"/>
    <tableColumn id="5" name="Amount" dataDxfId="4512" dataCellStyle="20% - Accent6"/>
  </tableColumns>
  <tableStyleInfo name="TableStyleLight18" showFirstColumn="0" showLastColumn="0" showRowStripes="1" showColumnStripes="0"/>
</table>
</file>

<file path=xl/tables/table238.xml><?xml version="1.0" encoding="utf-8"?>
<table xmlns="http://schemas.openxmlformats.org/spreadsheetml/2006/main" id="238" name="Boarding_30" displayName="Boarding_30" ref="A87:D102" totalsRowShown="0" headerRowDxfId="4511" dataDxfId="4509" headerRowBorderDxfId="4510" tableBorderDxfId="4508" headerRowCellStyle="40% - Accent6">
  <autoFilter ref="A87:D102"/>
  <tableColumns count="4">
    <tableColumn id="1" name="Expense" dataDxfId="4507"/>
    <tableColumn id="2" name="Description" dataDxfId="4506"/>
    <tableColumn id="4" name="Label Name" dataDxfId="4505"/>
    <tableColumn id="5" name="Amount" dataDxfId="4504" dataCellStyle="40% - Accent6"/>
  </tableColumns>
  <tableStyleInfo name="TableStyleLight18" showFirstColumn="0" showLastColumn="0" showRowStripes="1" showColumnStripes="0"/>
</table>
</file>

<file path=xl/tables/table239.xml><?xml version="1.0" encoding="utf-8"?>
<table xmlns="http://schemas.openxmlformats.org/spreadsheetml/2006/main" id="239" name="Fence_30" displayName="Fence_30" ref="A106:D121" totalsRowShown="0" headerRowDxfId="4503" dataDxfId="4501" headerRowBorderDxfId="4502" tableBorderDxfId="4500" headerRowCellStyle="40% - Accent6">
  <autoFilter ref="A106:D121"/>
  <tableColumns count="4">
    <tableColumn id="1" name="Expense" dataDxfId="4499"/>
    <tableColumn id="2" name="Description" dataDxfId="4498"/>
    <tableColumn id="4" name="Label Name" dataDxfId="4497"/>
    <tableColumn id="5" name="Amount" dataDxfId="4496" dataCellStyle="40% - Accent6"/>
  </tableColumns>
  <tableStyleInfo name="TableStyleLight18" showFirstColumn="0" showLastColumn="0" showRowStripes="1" showColumnStripes="0"/>
</table>
</file>

<file path=xl/tables/table24.xml><?xml version="1.0" encoding="utf-8"?>
<table xmlns="http://schemas.openxmlformats.org/spreadsheetml/2006/main" id="89" name="Demolition_3" displayName="Demolition_3" ref="A125:D140" totalsRowShown="0" headerRowDxfId="6223" dataDxfId="6221" headerRowBorderDxfId="6222" tableBorderDxfId="6220" headerRowCellStyle="40% - Accent6">
  <autoFilter ref="A125:D140"/>
  <tableColumns count="4">
    <tableColumn id="1" name="Expense" dataDxfId="6219"/>
    <tableColumn id="2" name="Description" dataDxfId="6218"/>
    <tableColumn id="4" name="Label Name" dataDxfId="6217"/>
    <tableColumn id="5" name="Amount" dataDxfId="6216" dataCellStyle="40% - Accent6"/>
  </tableColumns>
  <tableStyleInfo name="TableStyleLight18" showFirstColumn="0" showLastColumn="0" showRowStripes="1" showColumnStripes="0"/>
</table>
</file>

<file path=xl/tables/table240.xml><?xml version="1.0" encoding="utf-8"?>
<table xmlns="http://schemas.openxmlformats.org/spreadsheetml/2006/main" id="240" name="Demolition_30" displayName="Demolition_30" ref="A125:D140" totalsRowShown="0" headerRowDxfId="4495" dataDxfId="4493" headerRowBorderDxfId="4494" tableBorderDxfId="4492" headerRowCellStyle="40% - Accent6">
  <autoFilter ref="A125:D140"/>
  <tableColumns count="4">
    <tableColumn id="1" name="Expense" dataDxfId="4491"/>
    <tableColumn id="2" name="Description" dataDxfId="4490"/>
    <tableColumn id="4" name="Label Name" dataDxfId="4489"/>
    <tableColumn id="5" name="Amount" dataDxfId="4488" dataCellStyle="40% - Accent6"/>
  </tableColumns>
  <tableStyleInfo name="TableStyleLight18" showFirstColumn="0" showLastColumn="0" showRowStripes="1" showColumnStripes="0"/>
</table>
</file>

<file path=xl/tables/table241.xml><?xml version="1.0" encoding="utf-8"?>
<table xmlns="http://schemas.openxmlformats.org/spreadsheetml/2006/main" id="241" name="Rehab_30" displayName="Rehab_30" ref="A144:D159" totalsRowShown="0" headerRowDxfId="4487" dataDxfId="4485" headerRowBorderDxfId="4486" tableBorderDxfId="4484" headerRowCellStyle="40% - Accent6">
  <autoFilter ref="A144:D159"/>
  <tableColumns count="4">
    <tableColumn id="1" name="Expense" dataDxfId="4483"/>
    <tableColumn id="2" name="Description" dataDxfId="4482"/>
    <tableColumn id="4" name="Label Name" dataDxfId="4481"/>
    <tableColumn id="5" name="Amount" dataDxfId="4480" dataCellStyle="40% - Accent6"/>
  </tableColumns>
  <tableStyleInfo name="TableStyleLight18" showFirstColumn="0" showLastColumn="0" showRowStripes="1" showColumnStripes="0"/>
</table>
</file>

<file path=xl/tables/table242.xml><?xml version="1.0" encoding="utf-8"?>
<table xmlns="http://schemas.openxmlformats.org/spreadsheetml/2006/main" id="242" name="Grass_31" displayName="Grass_31" ref="A11:D26" totalsRowShown="0" headerRowDxfId="4479" dataDxfId="4477" headerRowBorderDxfId="4478" tableBorderDxfId="4476" headerRowCellStyle="40% - Accent6">
  <autoFilter ref="A11:D26"/>
  <tableColumns count="4">
    <tableColumn id="1" name="Expense" dataDxfId="4475"/>
    <tableColumn id="2" name="Description" dataDxfId="4474"/>
    <tableColumn id="4" name="Label Name" dataDxfId="4473"/>
    <tableColumn id="5" name="Amount" dataDxfId="4472" dataCellStyle="20% - Accent6"/>
  </tableColumns>
  <tableStyleInfo name="TableStyleLight18" showFirstColumn="0" showLastColumn="0" showRowStripes="1" showColumnStripes="0"/>
</table>
</file>

<file path=xl/tables/table243.xml><?xml version="1.0" encoding="utf-8"?>
<table xmlns="http://schemas.openxmlformats.org/spreadsheetml/2006/main" id="243" name="Tree_31" displayName="Tree_31" ref="A30:D45" totalsRowShown="0" headerRowDxfId="4471" dataDxfId="4469" headerRowBorderDxfId="4470" tableBorderDxfId="4468" headerRowCellStyle="40% - Accent6">
  <autoFilter ref="A30:D45"/>
  <tableColumns count="4">
    <tableColumn id="1" name="Expense" dataDxfId="4467"/>
    <tableColumn id="2" name="Description" dataDxfId="4466"/>
    <tableColumn id="4" name="Label Name" dataDxfId="4465"/>
    <tableColumn id="5" name="Amount" dataDxfId="4464" dataCellStyle="40% - Accent6"/>
  </tableColumns>
  <tableStyleInfo name="TableStyleLight18" showFirstColumn="0" showLastColumn="0" showRowStripes="1" showColumnStripes="0"/>
</table>
</file>

<file path=xl/tables/table244.xml><?xml version="1.0" encoding="utf-8"?>
<table xmlns="http://schemas.openxmlformats.org/spreadsheetml/2006/main" id="244" name="Pest_31" displayName="Pest_31" ref="A49:D64" totalsRowShown="0" headerRowDxfId="4463" dataDxfId="4461" headerRowBorderDxfId="4462" tableBorderDxfId="4460" headerRowCellStyle="40% - Accent6">
  <autoFilter ref="A49:D64"/>
  <tableColumns count="4">
    <tableColumn id="1" name="Expense" dataDxfId="4459"/>
    <tableColumn id="2" name="Description" dataDxfId="4458"/>
    <tableColumn id="4" name="Label Name" dataDxfId="4457"/>
    <tableColumn id="5" name="Amount" dataDxfId="4456" dataCellStyle="40% - Accent6"/>
  </tableColumns>
  <tableStyleInfo name="TableStyleLight18" showFirstColumn="0" showLastColumn="0" showRowStripes="1" showColumnStripes="0"/>
</table>
</file>

<file path=xl/tables/table245.xml><?xml version="1.0" encoding="utf-8"?>
<table xmlns="http://schemas.openxmlformats.org/spreadsheetml/2006/main" id="245" name="Garbage_31" displayName="Garbage_31" ref="A68:D83" totalsRowShown="0" headerRowDxfId="4455" dataDxfId="4453" headerRowBorderDxfId="4454" tableBorderDxfId="4452" headerRowCellStyle="40% - Accent6">
  <autoFilter ref="A68:D83"/>
  <tableColumns count="4">
    <tableColumn id="1" name="Expense" dataDxfId="4451"/>
    <tableColumn id="2" name="Description" dataDxfId="4450"/>
    <tableColumn id="4" name="Label Name" dataDxfId="4449"/>
    <tableColumn id="5" name="Amount" dataDxfId="4448" dataCellStyle="20% - Accent6"/>
  </tableColumns>
  <tableStyleInfo name="TableStyleLight18" showFirstColumn="0" showLastColumn="0" showRowStripes="1" showColumnStripes="0"/>
</table>
</file>

<file path=xl/tables/table246.xml><?xml version="1.0" encoding="utf-8"?>
<table xmlns="http://schemas.openxmlformats.org/spreadsheetml/2006/main" id="246" name="Boarding_31" displayName="Boarding_31" ref="A87:D102" totalsRowShown="0" headerRowDxfId="4447" dataDxfId="4445" headerRowBorderDxfId="4446" tableBorderDxfId="4444" headerRowCellStyle="40% - Accent6">
  <autoFilter ref="A87:D102"/>
  <tableColumns count="4">
    <tableColumn id="1" name="Expense" dataDxfId="4443"/>
    <tableColumn id="2" name="Description" dataDxfId="4442"/>
    <tableColumn id="4" name="Label Name" dataDxfId="4441"/>
    <tableColumn id="5" name="Amount" dataDxfId="4440" dataCellStyle="40% - Accent6"/>
  </tableColumns>
  <tableStyleInfo name="TableStyleLight18" showFirstColumn="0" showLastColumn="0" showRowStripes="1" showColumnStripes="0"/>
</table>
</file>

<file path=xl/tables/table247.xml><?xml version="1.0" encoding="utf-8"?>
<table xmlns="http://schemas.openxmlformats.org/spreadsheetml/2006/main" id="247" name="Fence_31" displayName="Fence_31" ref="A106:D121" totalsRowShown="0" headerRowDxfId="4439" dataDxfId="4437" headerRowBorderDxfId="4438" tableBorderDxfId="4436" headerRowCellStyle="40% - Accent6">
  <autoFilter ref="A106:D121"/>
  <tableColumns count="4">
    <tableColumn id="1" name="Expense" dataDxfId="4435"/>
    <tableColumn id="2" name="Description" dataDxfId="4434"/>
    <tableColumn id="4" name="Label Name" dataDxfId="4433"/>
    <tableColumn id="5" name="Amount" dataDxfId="4432" dataCellStyle="40% - Accent6"/>
  </tableColumns>
  <tableStyleInfo name="TableStyleLight18" showFirstColumn="0" showLastColumn="0" showRowStripes="1" showColumnStripes="0"/>
</table>
</file>

<file path=xl/tables/table248.xml><?xml version="1.0" encoding="utf-8"?>
<table xmlns="http://schemas.openxmlformats.org/spreadsheetml/2006/main" id="248" name="Demolition_31" displayName="Demolition_31" ref="A125:D140" totalsRowShown="0" headerRowDxfId="4431" dataDxfId="4429" headerRowBorderDxfId="4430" tableBorderDxfId="4428" headerRowCellStyle="40% - Accent6">
  <autoFilter ref="A125:D140"/>
  <tableColumns count="4">
    <tableColumn id="1" name="Expense" dataDxfId="4427"/>
    <tableColumn id="2" name="Description" dataDxfId="4426"/>
    <tableColumn id="4" name="Label Name" dataDxfId="4425"/>
    <tableColumn id="5" name="Amount" dataDxfId="4424" dataCellStyle="40% - Accent6"/>
  </tableColumns>
  <tableStyleInfo name="TableStyleLight18" showFirstColumn="0" showLastColumn="0" showRowStripes="1" showColumnStripes="0"/>
</table>
</file>

<file path=xl/tables/table249.xml><?xml version="1.0" encoding="utf-8"?>
<table xmlns="http://schemas.openxmlformats.org/spreadsheetml/2006/main" id="249" name="Rehab_31" displayName="Rehab_31" ref="A144:D159" totalsRowShown="0" headerRowDxfId="4423" dataDxfId="4421" headerRowBorderDxfId="4422" tableBorderDxfId="4420" headerRowCellStyle="40% - Accent6">
  <autoFilter ref="A144:D159"/>
  <tableColumns count="4">
    <tableColumn id="1" name="Expense" dataDxfId="4419"/>
    <tableColumn id="2" name="Description" dataDxfId="4418"/>
    <tableColumn id="4" name="Label Name" dataDxfId="4417"/>
    <tableColumn id="5" name="Amount" dataDxfId="4416" dataCellStyle="40% - Accent6"/>
  </tableColumns>
  <tableStyleInfo name="TableStyleLight18" showFirstColumn="0" showLastColumn="0" showRowStripes="1" showColumnStripes="0"/>
</table>
</file>

<file path=xl/tables/table25.xml><?xml version="1.0" encoding="utf-8"?>
<table xmlns="http://schemas.openxmlformats.org/spreadsheetml/2006/main" id="90" name="Rehab_3" displayName="Rehab_3" ref="A144:D159" totalsRowShown="0" headerRowDxfId="6215" dataDxfId="6213" headerRowBorderDxfId="6214" tableBorderDxfId="6212" headerRowCellStyle="40% - Accent6">
  <autoFilter ref="A144:D159"/>
  <tableColumns count="4">
    <tableColumn id="1" name="Expense" dataDxfId="6211"/>
    <tableColumn id="2" name="Description" dataDxfId="6210"/>
    <tableColumn id="4" name="Label Name" dataDxfId="6209"/>
    <tableColumn id="5" name="Amount" dataDxfId="6208" dataCellStyle="40% - Accent6"/>
  </tableColumns>
  <tableStyleInfo name="TableStyleLight18" showFirstColumn="0" showLastColumn="0" showRowStripes="1" showColumnStripes="0"/>
</table>
</file>

<file path=xl/tables/table250.xml><?xml version="1.0" encoding="utf-8"?>
<table xmlns="http://schemas.openxmlformats.org/spreadsheetml/2006/main" id="250" name="Grass_32" displayName="Grass_32" ref="A11:D26" totalsRowShown="0" headerRowDxfId="4415" dataDxfId="4413" headerRowBorderDxfId="4414" tableBorderDxfId="4412" headerRowCellStyle="40% - Accent6">
  <autoFilter ref="A11:D26"/>
  <tableColumns count="4">
    <tableColumn id="1" name="Expense" dataDxfId="4411"/>
    <tableColumn id="2" name="Description" dataDxfId="4410"/>
    <tableColumn id="4" name="Label Name" dataDxfId="4409"/>
    <tableColumn id="5" name="Amount" dataDxfId="4408" dataCellStyle="20% - Accent6"/>
  </tableColumns>
  <tableStyleInfo name="TableStyleLight18" showFirstColumn="0" showLastColumn="0" showRowStripes="1" showColumnStripes="0"/>
</table>
</file>

<file path=xl/tables/table251.xml><?xml version="1.0" encoding="utf-8"?>
<table xmlns="http://schemas.openxmlformats.org/spreadsheetml/2006/main" id="251" name="Tree_32" displayName="Tree_32" ref="A30:D45" totalsRowShown="0" headerRowDxfId="4407" dataDxfId="4405" headerRowBorderDxfId="4406" tableBorderDxfId="4404" headerRowCellStyle="40% - Accent6">
  <autoFilter ref="A30:D45"/>
  <tableColumns count="4">
    <tableColumn id="1" name="Expense" dataDxfId="4403"/>
    <tableColumn id="2" name="Description" dataDxfId="4402"/>
    <tableColumn id="4" name="Label Name" dataDxfId="4401"/>
    <tableColumn id="5" name="Amount" dataDxfId="4400" dataCellStyle="40% - Accent6"/>
  </tableColumns>
  <tableStyleInfo name="TableStyleLight18" showFirstColumn="0" showLastColumn="0" showRowStripes="1" showColumnStripes="0"/>
</table>
</file>

<file path=xl/tables/table252.xml><?xml version="1.0" encoding="utf-8"?>
<table xmlns="http://schemas.openxmlformats.org/spreadsheetml/2006/main" id="252" name="Pest_32" displayName="Pest_32" ref="A49:D64" totalsRowShown="0" headerRowDxfId="4399" dataDxfId="4397" headerRowBorderDxfId="4398" tableBorderDxfId="4396" headerRowCellStyle="40% - Accent6">
  <autoFilter ref="A49:D64"/>
  <tableColumns count="4">
    <tableColumn id="1" name="Expense" dataDxfId="4395"/>
    <tableColumn id="2" name="Description" dataDxfId="4394"/>
    <tableColumn id="4" name="Label Name" dataDxfId="4393"/>
    <tableColumn id="5" name="Amount" dataDxfId="4392" dataCellStyle="40% - Accent6"/>
  </tableColumns>
  <tableStyleInfo name="TableStyleLight18" showFirstColumn="0" showLastColumn="0" showRowStripes="1" showColumnStripes="0"/>
</table>
</file>

<file path=xl/tables/table253.xml><?xml version="1.0" encoding="utf-8"?>
<table xmlns="http://schemas.openxmlformats.org/spreadsheetml/2006/main" id="253" name="Garbage_32" displayName="Garbage_32" ref="A68:D83" totalsRowShown="0" headerRowDxfId="4391" dataDxfId="4389" headerRowBorderDxfId="4390" tableBorderDxfId="4388" headerRowCellStyle="40% - Accent6">
  <autoFilter ref="A68:D83"/>
  <tableColumns count="4">
    <tableColumn id="1" name="Expense" dataDxfId="4387"/>
    <tableColumn id="2" name="Description" dataDxfId="4386"/>
    <tableColumn id="4" name="Label Name" dataDxfId="4385"/>
    <tableColumn id="5" name="Amount" dataDxfId="4384" dataCellStyle="20% - Accent6"/>
  </tableColumns>
  <tableStyleInfo name="TableStyleLight18" showFirstColumn="0" showLastColumn="0" showRowStripes="1" showColumnStripes="0"/>
</table>
</file>

<file path=xl/tables/table254.xml><?xml version="1.0" encoding="utf-8"?>
<table xmlns="http://schemas.openxmlformats.org/spreadsheetml/2006/main" id="254" name="Boarding_32" displayName="Boarding_32" ref="A87:D102" totalsRowShown="0" headerRowDxfId="4383" dataDxfId="4381" headerRowBorderDxfId="4382" tableBorderDxfId="4380" headerRowCellStyle="40% - Accent6">
  <autoFilter ref="A87:D102"/>
  <tableColumns count="4">
    <tableColumn id="1" name="Expense" dataDxfId="4379"/>
    <tableColumn id="2" name="Description" dataDxfId="4378"/>
    <tableColumn id="4" name="Label Name" dataDxfId="4377"/>
    <tableColumn id="5" name="Amount" dataDxfId="4376" dataCellStyle="40% - Accent6"/>
  </tableColumns>
  <tableStyleInfo name="TableStyleLight18" showFirstColumn="0" showLastColumn="0" showRowStripes="1" showColumnStripes="0"/>
</table>
</file>

<file path=xl/tables/table255.xml><?xml version="1.0" encoding="utf-8"?>
<table xmlns="http://schemas.openxmlformats.org/spreadsheetml/2006/main" id="255" name="Fence_32" displayName="Fence_32" ref="A106:D121" totalsRowShown="0" headerRowDxfId="4375" dataDxfId="4373" headerRowBorderDxfId="4374" tableBorderDxfId="4372" headerRowCellStyle="40% - Accent6">
  <autoFilter ref="A106:D121"/>
  <tableColumns count="4">
    <tableColumn id="1" name="Expense" dataDxfId="4371"/>
    <tableColumn id="2" name="Description" dataDxfId="4370"/>
    <tableColumn id="4" name="Label Name" dataDxfId="4369"/>
    <tableColumn id="5" name="Amount" dataDxfId="4368" dataCellStyle="40% - Accent6"/>
  </tableColumns>
  <tableStyleInfo name="TableStyleLight18" showFirstColumn="0" showLastColumn="0" showRowStripes="1" showColumnStripes="0"/>
</table>
</file>

<file path=xl/tables/table256.xml><?xml version="1.0" encoding="utf-8"?>
<table xmlns="http://schemas.openxmlformats.org/spreadsheetml/2006/main" id="256" name="Demolition_32" displayName="Demolition_32" ref="A125:D140" totalsRowShown="0" headerRowDxfId="4367" dataDxfId="4365" headerRowBorderDxfId="4366" tableBorderDxfId="4364" headerRowCellStyle="40% - Accent6">
  <autoFilter ref="A125:D140"/>
  <tableColumns count="4">
    <tableColumn id="1" name="Expense" dataDxfId="4363"/>
    <tableColumn id="2" name="Description" dataDxfId="4362"/>
    <tableColumn id="4" name="Label Name" dataDxfId="4361"/>
    <tableColumn id="5" name="Amount" dataDxfId="4360" dataCellStyle="40% - Accent6"/>
  </tableColumns>
  <tableStyleInfo name="TableStyleLight18" showFirstColumn="0" showLastColumn="0" showRowStripes="1" showColumnStripes="0"/>
</table>
</file>

<file path=xl/tables/table257.xml><?xml version="1.0" encoding="utf-8"?>
<table xmlns="http://schemas.openxmlformats.org/spreadsheetml/2006/main" id="257" name="Rehab_32" displayName="Rehab_32" ref="A144:D159" totalsRowShown="0" headerRowDxfId="4359" dataDxfId="4357" headerRowBorderDxfId="4358" tableBorderDxfId="4356" headerRowCellStyle="40% - Accent6">
  <autoFilter ref="A144:D159"/>
  <tableColumns count="4">
    <tableColumn id="1" name="Expense" dataDxfId="4355"/>
    <tableColumn id="2" name="Description" dataDxfId="4354"/>
    <tableColumn id="4" name="Label Name" dataDxfId="4353"/>
    <tableColumn id="5" name="Amount" dataDxfId="4352" dataCellStyle="40% - Accent6"/>
  </tableColumns>
  <tableStyleInfo name="TableStyleLight18" showFirstColumn="0" showLastColumn="0" showRowStripes="1" showColumnStripes="0"/>
</table>
</file>

<file path=xl/tables/table258.xml><?xml version="1.0" encoding="utf-8"?>
<table xmlns="http://schemas.openxmlformats.org/spreadsheetml/2006/main" id="258" name="Grass_33" displayName="Grass_33" ref="A11:D26" totalsRowShown="0" headerRowDxfId="4351" dataDxfId="4349" headerRowBorderDxfId="4350" tableBorderDxfId="4348" headerRowCellStyle="40% - Accent6">
  <autoFilter ref="A11:D26"/>
  <tableColumns count="4">
    <tableColumn id="1" name="Expense" dataDxfId="4347"/>
    <tableColumn id="2" name="Description" dataDxfId="4346"/>
    <tableColumn id="4" name="Label Name" dataDxfId="4345"/>
    <tableColumn id="5" name="Amount" dataDxfId="4344" dataCellStyle="20% - Accent6"/>
  </tableColumns>
  <tableStyleInfo name="TableStyleLight18" showFirstColumn="0" showLastColumn="0" showRowStripes="1" showColumnStripes="0"/>
</table>
</file>

<file path=xl/tables/table259.xml><?xml version="1.0" encoding="utf-8"?>
<table xmlns="http://schemas.openxmlformats.org/spreadsheetml/2006/main" id="259" name="Tree_33" displayName="Tree_33" ref="A30:D45" totalsRowShown="0" headerRowDxfId="4343" dataDxfId="4341" headerRowBorderDxfId="4342" tableBorderDxfId="4340" headerRowCellStyle="40% - Accent6">
  <autoFilter ref="A30:D45"/>
  <tableColumns count="4">
    <tableColumn id="1" name="Expense" dataDxfId="4339"/>
    <tableColumn id="2" name="Description" dataDxfId="4338"/>
    <tableColumn id="4" name="Label Name" dataDxfId="4337"/>
    <tableColumn id="5" name="Amount" dataDxfId="4336" dataCellStyle="40% - Accent6"/>
  </tableColumns>
  <tableStyleInfo name="TableStyleLight18" showFirstColumn="0" showLastColumn="0" showRowStripes="1" showColumnStripes="0"/>
</table>
</file>

<file path=xl/tables/table26.xml><?xml version="1.0" encoding="utf-8"?>
<table xmlns="http://schemas.openxmlformats.org/spreadsheetml/2006/main" id="91" name="Grass_4" displayName="Grass_4" ref="A11:D26" totalsRowShown="0" headerRowDxfId="6207" dataDxfId="6205" headerRowBorderDxfId="6206" tableBorderDxfId="6204" headerRowCellStyle="40% - Accent6">
  <autoFilter ref="A11:D26"/>
  <tableColumns count="4">
    <tableColumn id="1" name="Expense" dataDxfId="6203"/>
    <tableColumn id="2" name="Description" dataDxfId="6202"/>
    <tableColumn id="4" name="Label Name" dataDxfId="6201"/>
    <tableColumn id="5" name="Amount" dataDxfId="6200" dataCellStyle="20% - Accent6"/>
  </tableColumns>
  <tableStyleInfo name="TableStyleLight18" showFirstColumn="0" showLastColumn="0" showRowStripes="1" showColumnStripes="0"/>
</table>
</file>

<file path=xl/tables/table260.xml><?xml version="1.0" encoding="utf-8"?>
<table xmlns="http://schemas.openxmlformats.org/spreadsheetml/2006/main" id="260" name="Pest_33" displayName="Pest_33" ref="A49:D64" totalsRowShown="0" headerRowDxfId="4335" dataDxfId="4333" headerRowBorderDxfId="4334" tableBorderDxfId="4332" headerRowCellStyle="40% - Accent6">
  <autoFilter ref="A49:D64"/>
  <tableColumns count="4">
    <tableColumn id="1" name="Expense" dataDxfId="4331"/>
    <tableColumn id="2" name="Description" dataDxfId="4330"/>
    <tableColumn id="4" name="Label Name" dataDxfId="4329"/>
    <tableColumn id="5" name="Amount" dataDxfId="4328" dataCellStyle="40% - Accent6"/>
  </tableColumns>
  <tableStyleInfo name="TableStyleLight18" showFirstColumn="0" showLastColumn="0" showRowStripes="1" showColumnStripes="0"/>
</table>
</file>

<file path=xl/tables/table261.xml><?xml version="1.0" encoding="utf-8"?>
<table xmlns="http://schemas.openxmlformats.org/spreadsheetml/2006/main" id="261" name="Garbage_33" displayName="Garbage_33" ref="A68:D83" totalsRowShown="0" headerRowDxfId="4327" dataDxfId="4325" headerRowBorderDxfId="4326" tableBorderDxfId="4324" headerRowCellStyle="40% - Accent6">
  <autoFilter ref="A68:D83"/>
  <tableColumns count="4">
    <tableColumn id="1" name="Expense" dataDxfId="4323"/>
    <tableColumn id="2" name="Description" dataDxfId="4322"/>
    <tableColumn id="4" name="Label Name" dataDxfId="4321"/>
    <tableColumn id="5" name="Amount" dataDxfId="4320" dataCellStyle="20% - Accent6"/>
  </tableColumns>
  <tableStyleInfo name="TableStyleLight18" showFirstColumn="0" showLastColumn="0" showRowStripes="1" showColumnStripes="0"/>
</table>
</file>

<file path=xl/tables/table262.xml><?xml version="1.0" encoding="utf-8"?>
<table xmlns="http://schemas.openxmlformats.org/spreadsheetml/2006/main" id="262" name="Boarding_33" displayName="Boarding_33" ref="A87:D102" totalsRowShown="0" headerRowDxfId="4319" dataDxfId="4317" headerRowBorderDxfId="4318" tableBorderDxfId="4316" headerRowCellStyle="40% - Accent6">
  <autoFilter ref="A87:D102"/>
  <tableColumns count="4">
    <tableColumn id="1" name="Expense" dataDxfId="4315"/>
    <tableColumn id="2" name="Description" dataDxfId="4314"/>
    <tableColumn id="4" name="Label Name" dataDxfId="4313"/>
    <tableColumn id="5" name="Amount" dataDxfId="4312" dataCellStyle="40% - Accent6"/>
  </tableColumns>
  <tableStyleInfo name="TableStyleLight18" showFirstColumn="0" showLastColumn="0" showRowStripes="1" showColumnStripes="0"/>
</table>
</file>

<file path=xl/tables/table263.xml><?xml version="1.0" encoding="utf-8"?>
<table xmlns="http://schemas.openxmlformats.org/spreadsheetml/2006/main" id="263" name="Fence_33" displayName="Fence_33" ref="A106:D121" totalsRowShown="0" headerRowDxfId="4311" dataDxfId="4309" headerRowBorderDxfId="4310" tableBorderDxfId="4308" headerRowCellStyle="40% - Accent6">
  <autoFilter ref="A106:D121"/>
  <tableColumns count="4">
    <tableColumn id="1" name="Expense" dataDxfId="4307"/>
    <tableColumn id="2" name="Description" dataDxfId="4306"/>
    <tableColumn id="4" name="Label Name" dataDxfId="4305"/>
    <tableColumn id="5" name="Amount" dataDxfId="4304" dataCellStyle="40% - Accent6"/>
  </tableColumns>
  <tableStyleInfo name="TableStyleLight18" showFirstColumn="0" showLastColumn="0" showRowStripes="1" showColumnStripes="0"/>
</table>
</file>

<file path=xl/tables/table264.xml><?xml version="1.0" encoding="utf-8"?>
<table xmlns="http://schemas.openxmlformats.org/spreadsheetml/2006/main" id="264" name="Demolition_33" displayName="Demolition_33" ref="A125:D140" totalsRowShown="0" headerRowDxfId="4303" dataDxfId="4301" headerRowBorderDxfId="4302" tableBorderDxfId="4300" headerRowCellStyle="40% - Accent6">
  <autoFilter ref="A125:D140"/>
  <tableColumns count="4">
    <tableColumn id="1" name="Expense" dataDxfId="4299"/>
    <tableColumn id="2" name="Description" dataDxfId="4298"/>
    <tableColumn id="4" name="Label Name" dataDxfId="4297"/>
    <tableColumn id="5" name="Amount" dataDxfId="4296" dataCellStyle="40% - Accent6"/>
  </tableColumns>
  <tableStyleInfo name="TableStyleLight18" showFirstColumn="0" showLastColumn="0" showRowStripes="1" showColumnStripes="0"/>
</table>
</file>

<file path=xl/tables/table265.xml><?xml version="1.0" encoding="utf-8"?>
<table xmlns="http://schemas.openxmlformats.org/spreadsheetml/2006/main" id="265" name="Rehab_33" displayName="Rehab_33" ref="A144:D159" totalsRowShown="0" headerRowDxfId="4295" dataDxfId="4293" headerRowBorderDxfId="4294" tableBorderDxfId="4292" headerRowCellStyle="40% - Accent6">
  <autoFilter ref="A144:D159"/>
  <tableColumns count="4">
    <tableColumn id="1" name="Expense" dataDxfId="4291"/>
    <tableColumn id="2" name="Description" dataDxfId="4290"/>
    <tableColumn id="4" name="Label Name" dataDxfId="4289"/>
    <tableColumn id="5" name="Amount" dataDxfId="4288" dataCellStyle="40% - Accent6"/>
  </tableColumns>
  <tableStyleInfo name="TableStyleLight18" showFirstColumn="0" showLastColumn="0" showRowStripes="1" showColumnStripes="0"/>
</table>
</file>

<file path=xl/tables/table266.xml><?xml version="1.0" encoding="utf-8"?>
<table xmlns="http://schemas.openxmlformats.org/spreadsheetml/2006/main" id="266" name="Grass_34" displayName="Grass_34" ref="A11:D26" totalsRowShown="0" headerRowDxfId="4287" dataDxfId="4285" headerRowBorderDxfId="4286" tableBorderDxfId="4284" headerRowCellStyle="40% - Accent6">
  <autoFilter ref="A11:D26"/>
  <tableColumns count="4">
    <tableColumn id="1" name="Expense" dataDxfId="4283"/>
    <tableColumn id="2" name="Description" dataDxfId="4282"/>
    <tableColumn id="4" name="Label Name" dataDxfId="4281"/>
    <tableColumn id="5" name="Amount" dataDxfId="4280" dataCellStyle="20% - Accent6"/>
  </tableColumns>
  <tableStyleInfo name="TableStyleLight18" showFirstColumn="0" showLastColumn="0" showRowStripes="1" showColumnStripes="0"/>
</table>
</file>

<file path=xl/tables/table267.xml><?xml version="1.0" encoding="utf-8"?>
<table xmlns="http://schemas.openxmlformats.org/spreadsheetml/2006/main" id="267" name="Tree_34" displayName="Tree_34" ref="A30:D45" totalsRowShown="0" headerRowDxfId="4279" dataDxfId="4277" headerRowBorderDxfId="4278" tableBorderDxfId="4276" headerRowCellStyle="40% - Accent6">
  <autoFilter ref="A30:D45"/>
  <tableColumns count="4">
    <tableColumn id="1" name="Expense" dataDxfId="4275"/>
    <tableColumn id="2" name="Description" dataDxfId="4274"/>
    <tableColumn id="4" name="Label Name" dataDxfId="4273"/>
    <tableColumn id="5" name="Amount" dataDxfId="4272" dataCellStyle="40% - Accent6"/>
  </tableColumns>
  <tableStyleInfo name="TableStyleLight18" showFirstColumn="0" showLastColumn="0" showRowStripes="1" showColumnStripes="0"/>
</table>
</file>

<file path=xl/tables/table268.xml><?xml version="1.0" encoding="utf-8"?>
<table xmlns="http://schemas.openxmlformats.org/spreadsheetml/2006/main" id="268" name="Pest_34" displayName="Pest_34" ref="A49:D64" totalsRowShown="0" headerRowDxfId="4271" dataDxfId="4269" headerRowBorderDxfId="4270" tableBorderDxfId="4268" headerRowCellStyle="40% - Accent6">
  <autoFilter ref="A49:D64"/>
  <tableColumns count="4">
    <tableColumn id="1" name="Expense" dataDxfId="4267"/>
    <tableColumn id="2" name="Description" dataDxfId="4266"/>
    <tableColumn id="4" name="Label Name" dataDxfId="4265"/>
    <tableColumn id="5" name="Amount" dataDxfId="4264" dataCellStyle="40% - Accent6"/>
  </tableColumns>
  <tableStyleInfo name="TableStyleLight18" showFirstColumn="0" showLastColumn="0" showRowStripes="1" showColumnStripes="0"/>
</table>
</file>

<file path=xl/tables/table269.xml><?xml version="1.0" encoding="utf-8"?>
<table xmlns="http://schemas.openxmlformats.org/spreadsheetml/2006/main" id="269" name="Garbage_34" displayName="Garbage_34" ref="A68:D83" totalsRowShown="0" headerRowDxfId="4263" dataDxfId="4261" headerRowBorderDxfId="4262" tableBorderDxfId="4260" headerRowCellStyle="40% - Accent6">
  <autoFilter ref="A68:D83"/>
  <tableColumns count="4">
    <tableColumn id="1" name="Expense" dataDxfId="4259"/>
    <tableColumn id="2" name="Description" dataDxfId="4258"/>
    <tableColumn id="4" name="Label Name" dataDxfId="4257"/>
    <tableColumn id="5" name="Amount" dataDxfId="4256" dataCellStyle="20% - Accent6"/>
  </tableColumns>
  <tableStyleInfo name="TableStyleLight18" showFirstColumn="0" showLastColumn="0" showRowStripes="1" showColumnStripes="0"/>
</table>
</file>

<file path=xl/tables/table27.xml><?xml version="1.0" encoding="utf-8"?>
<table xmlns="http://schemas.openxmlformats.org/spreadsheetml/2006/main" id="92" name="Tree_4" displayName="Tree_4" ref="A30:D45" totalsRowShown="0" headerRowDxfId="6199" dataDxfId="6197" headerRowBorderDxfId="6198" tableBorderDxfId="6196" headerRowCellStyle="40% - Accent6">
  <autoFilter ref="A30:D45"/>
  <tableColumns count="4">
    <tableColumn id="1" name="Expense" dataDxfId="6195"/>
    <tableColumn id="2" name="Description" dataDxfId="6194"/>
    <tableColumn id="4" name="Label Name" dataDxfId="6193"/>
    <tableColumn id="5" name="Amount" dataDxfId="6192" dataCellStyle="40% - Accent6"/>
  </tableColumns>
  <tableStyleInfo name="TableStyleLight18" showFirstColumn="0" showLastColumn="0" showRowStripes="1" showColumnStripes="0"/>
</table>
</file>

<file path=xl/tables/table270.xml><?xml version="1.0" encoding="utf-8"?>
<table xmlns="http://schemas.openxmlformats.org/spreadsheetml/2006/main" id="270" name="Boarding_34" displayName="Boarding_34" ref="A87:D102" totalsRowShown="0" headerRowDxfId="4255" dataDxfId="4253" headerRowBorderDxfId="4254" tableBorderDxfId="4252" headerRowCellStyle="40% - Accent6">
  <autoFilter ref="A87:D102"/>
  <tableColumns count="4">
    <tableColumn id="1" name="Expense" dataDxfId="4251"/>
    <tableColumn id="2" name="Description" dataDxfId="4250"/>
    <tableColumn id="4" name="Label Name" dataDxfId="4249"/>
    <tableColumn id="5" name="Amount" dataDxfId="4248" dataCellStyle="40% - Accent6"/>
  </tableColumns>
  <tableStyleInfo name="TableStyleLight18" showFirstColumn="0" showLastColumn="0" showRowStripes="1" showColumnStripes="0"/>
</table>
</file>

<file path=xl/tables/table271.xml><?xml version="1.0" encoding="utf-8"?>
<table xmlns="http://schemas.openxmlformats.org/spreadsheetml/2006/main" id="271" name="Fence_34" displayName="Fence_34" ref="A106:D121" totalsRowShown="0" headerRowDxfId="4247" dataDxfId="4245" headerRowBorderDxfId="4246" tableBorderDxfId="4244" headerRowCellStyle="40% - Accent6">
  <autoFilter ref="A106:D121"/>
  <tableColumns count="4">
    <tableColumn id="1" name="Expense" dataDxfId="4243"/>
    <tableColumn id="2" name="Description" dataDxfId="4242"/>
    <tableColumn id="4" name="Label Name" dataDxfId="4241"/>
    <tableColumn id="5" name="Amount" dataDxfId="4240" dataCellStyle="40% - Accent6"/>
  </tableColumns>
  <tableStyleInfo name="TableStyleLight18" showFirstColumn="0" showLastColumn="0" showRowStripes="1" showColumnStripes="0"/>
</table>
</file>

<file path=xl/tables/table272.xml><?xml version="1.0" encoding="utf-8"?>
<table xmlns="http://schemas.openxmlformats.org/spreadsheetml/2006/main" id="272" name="Demolition_34" displayName="Demolition_34" ref="A125:D140" totalsRowShown="0" headerRowDxfId="4239" dataDxfId="4237" headerRowBorderDxfId="4238" tableBorderDxfId="4236" headerRowCellStyle="40% - Accent6">
  <autoFilter ref="A125:D140"/>
  <tableColumns count="4">
    <tableColumn id="1" name="Expense" dataDxfId="4235"/>
    <tableColumn id="2" name="Description" dataDxfId="4234"/>
    <tableColumn id="4" name="Label Name" dataDxfId="4233"/>
    <tableColumn id="5" name="Amount" dataDxfId="4232" dataCellStyle="40% - Accent6"/>
  </tableColumns>
  <tableStyleInfo name="TableStyleLight18" showFirstColumn="0" showLastColumn="0" showRowStripes="1" showColumnStripes="0"/>
</table>
</file>

<file path=xl/tables/table273.xml><?xml version="1.0" encoding="utf-8"?>
<table xmlns="http://schemas.openxmlformats.org/spreadsheetml/2006/main" id="273" name="Rehab_34" displayName="Rehab_34" ref="A144:D159" totalsRowShown="0" headerRowDxfId="4231" dataDxfId="4229" headerRowBorderDxfId="4230" tableBorderDxfId="4228" headerRowCellStyle="40% - Accent6">
  <autoFilter ref="A144:D159"/>
  <tableColumns count="4">
    <tableColumn id="1" name="Expense" dataDxfId="4227"/>
    <tableColumn id="2" name="Description" dataDxfId="4226"/>
    <tableColumn id="4" name="Label Name" dataDxfId="4225"/>
    <tableColumn id="5" name="Amount" dataDxfId="4224" dataCellStyle="40% - Accent6"/>
  </tableColumns>
  <tableStyleInfo name="TableStyleLight18" showFirstColumn="0" showLastColumn="0" showRowStripes="1" showColumnStripes="0"/>
</table>
</file>

<file path=xl/tables/table274.xml><?xml version="1.0" encoding="utf-8"?>
<table xmlns="http://schemas.openxmlformats.org/spreadsheetml/2006/main" id="274" name="Grass_35" displayName="Grass_35" ref="A11:D26" totalsRowShown="0" headerRowDxfId="4223" dataDxfId="4221" headerRowBorderDxfId="4222" tableBorderDxfId="4220" headerRowCellStyle="40% - Accent6">
  <autoFilter ref="A11:D26"/>
  <tableColumns count="4">
    <tableColumn id="1" name="Expense" dataDxfId="4219"/>
    <tableColumn id="2" name="Description" dataDxfId="4218"/>
    <tableColumn id="4" name="Label Name" dataDxfId="4217"/>
    <tableColumn id="5" name="Amount" dataDxfId="4216" dataCellStyle="20% - Accent6"/>
  </tableColumns>
  <tableStyleInfo name="TableStyleLight18" showFirstColumn="0" showLastColumn="0" showRowStripes="1" showColumnStripes="0"/>
</table>
</file>

<file path=xl/tables/table275.xml><?xml version="1.0" encoding="utf-8"?>
<table xmlns="http://schemas.openxmlformats.org/spreadsheetml/2006/main" id="275" name="Tree_35" displayName="Tree_35" ref="A30:D45" totalsRowShown="0" headerRowDxfId="4215" dataDxfId="4213" headerRowBorderDxfId="4214" tableBorderDxfId="4212" headerRowCellStyle="40% - Accent6">
  <autoFilter ref="A30:D45"/>
  <tableColumns count="4">
    <tableColumn id="1" name="Expense" dataDxfId="4211"/>
    <tableColumn id="2" name="Description" dataDxfId="4210"/>
    <tableColumn id="4" name="Label Name" dataDxfId="4209"/>
    <tableColumn id="5" name="Amount" dataDxfId="4208" dataCellStyle="40% - Accent6"/>
  </tableColumns>
  <tableStyleInfo name="TableStyleLight18" showFirstColumn="0" showLastColumn="0" showRowStripes="1" showColumnStripes="0"/>
</table>
</file>

<file path=xl/tables/table276.xml><?xml version="1.0" encoding="utf-8"?>
<table xmlns="http://schemas.openxmlformats.org/spreadsheetml/2006/main" id="276" name="Pest_35" displayName="Pest_35" ref="A49:D64" totalsRowShown="0" headerRowDxfId="4207" dataDxfId="4205" headerRowBorderDxfId="4206" tableBorderDxfId="4204" headerRowCellStyle="40% - Accent6">
  <autoFilter ref="A49:D64"/>
  <tableColumns count="4">
    <tableColumn id="1" name="Expense" dataDxfId="4203"/>
    <tableColumn id="2" name="Description" dataDxfId="4202"/>
    <tableColumn id="4" name="Label Name" dataDxfId="4201"/>
    <tableColumn id="5" name="Amount" dataDxfId="4200" dataCellStyle="40% - Accent6"/>
  </tableColumns>
  <tableStyleInfo name="TableStyleLight18" showFirstColumn="0" showLastColumn="0" showRowStripes="1" showColumnStripes="0"/>
</table>
</file>

<file path=xl/tables/table277.xml><?xml version="1.0" encoding="utf-8"?>
<table xmlns="http://schemas.openxmlformats.org/spreadsheetml/2006/main" id="277" name="Garbage_35" displayName="Garbage_35" ref="A68:D83" totalsRowShown="0" headerRowDxfId="4199" dataDxfId="4197" headerRowBorderDxfId="4198" tableBorderDxfId="4196" headerRowCellStyle="40% - Accent6">
  <autoFilter ref="A68:D83"/>
  <tableColumns count="4">
    <tableColumn id="1" name="Expense" dataDxfId="4195"/>
    <tableColumn id="2" name="Description" dataDxfId="4194"/>
    <tableColumn id="4" name="Label Name" dataDxfId="4193"/>
    <tableColumn id="5" name="Amount" dataDxfId="4192" dataCellStyle="20% - Accent6"/>
  </tableColumns>
  <tableStyleInfo name="TableStyleLight18" showFirstColumn="0" showLastColumn="0" showRowStripes="1" showColumnStripes="0"/>
</table>
</file>

<file path=xl/tables/table278.xml><?xml version="1.0" encoding="utf-8"?>
<table xmlns="http://schemas.openxmlformats.org/spreadsheetml/2006/main" id="278" name="Boarding_35" displayName="Boarding_35" ref="A87:D102" totalsRowShown="0" headerRowDxfId="4191" dataDxfId="4189" headerRowBorderDxfId="4190" tableBorderDxfId="4188" headerRowCellStyle="40% - Accent6">
  <autoFilter ref="A87:D102"/>
  <tableColumns count="4">
    <tableColumn id="1" name="Expense" dataDxfId="4187"/>
    <tableColumn id="2" name="Description" dataDxfId="4186"/>
    <tableColumn id="4" name="Label Name" dataDxfId="4185"/>
    <tableColumn id="5" name="Amount" dataDxfId="4184" dataCellStyle="40% - Accent6"/>
  </tableColumns>
  <tableStyleInfo name="TableStyleLight18" showFirstColumn="0" showLastColumn="0" showRowStripes="1" showColumnStripes="0"/>
</table>
</file>

<file path=xl/tables/table279.xml><?xml version="1.0" encoding="utf-8"?>
<table xmlns="http://schemas.openxmlformats.org/spreadsheetml/2006/main" id="279" name="Fence_35" displayName="Fence_35" ref="A106:D121" totalsRowShown="0" headerRowDxfId="4183" dataDxfId="4181" headerRowBorderDxfId="4182" tableBorderDxfId="4180" headerRowCellStyle="40% - Accent6">
  <autoFilter ref="A106:D121"/>
  <tableColumns count="4">
    <tableColumn id="1" name="Expense" dataDxfId="4179"/>
    <tableColumn id="2" name="Description" dataDxfId="4178"/>
    <tableColumn id="4" name="Label Name" dataDxfId="4177"/>
    <tableColumn id="5" name="Amount" dataDxfId="4176" dataCellStyle="40% - Accent6"/>
  </tableColumns>
  <tableStyleInfo name="TableStyleLight18" showFirstColumn="0" showLastColumn="0" showRowStripes="1" showColumnStripes="0"/>
</table>
</file>

<file path=xl/tables/table28.xml><?xml version="1.0" encoding="utf-8"?>
<table xmlns="http://schemas.openxmlformats.org/spreadsheetml/2006/main" id="93" name="Pest_4" displayName="Pest_4" ref="A49:D64" totalsRowShown="0" headerRowDxfId="6191" dataDxfId="6189" headerRowBorderDxfId="6190" tableBorderDxfId="6188" headerRowCellStyle="40% - Accent6">
  <autoFilter ref="A49:D64"/>
  <tableColumns count="4">
    <tableColumn id="1" name="Expense" dataDxfId="6187"/>
    <tableColumn id="2" name="Description" dataDxfId="6186"/>
    <tableColumn id="4" name="Label Name" dataDxfId="6185"/>
    <tableColumn id="5" name="Amount" dataDxfId="6184" dataCellStyle="40% - Accent6"/>
  </tableColumns>
  <tableStyleInfo name="TableStyleLight18" showFirstColumn="0" showLastColumn="0" showRowStripes="1" showColumnStripes="0"/>
</table>
</file>

<file path=xl/tables/table280.xml><?xml version="1.0" encoding="utf-8"?>
<table xmlns="http://schemas.openxmlformats.org/spreadsheetml/2006/main" id="280" name="Demolition_35" displayName="Demolition_35" ref="A125:D140" totalsRowShown="0" headerRowDxfId="4175" dataDxfId="4173" headerRowBorderDxfId="4174" tableBorderDxfId="4172" headerRowCellStyle="40% - Accent6">
  <autoFilter ref="A125:D140"/>
  <tableColumns count="4">
    <tableColumn id="1" name="Expense" dataDxfId="4171"/>
    <tableColumn id="2" name="Description" dataDxfId="4170"/>
    <tableColumn id="4" name="Label Name" dataDxfId="4169"/>
    <tableColumn id="5" name="Amount" dataDxfId="4168" dataCellStyle="40% - Accent6"/>
  </tableColumns>
  <tableStyleInfo name="TableStyleLight18" showFirstColumn="0" showLastColumn="0" showRowStripes="1" showColumnStripes="0"/>
</table>
</file>

<file path=xl/tables/table281.xml><?xml version="1.0" encoding="utf-8"?>
<table xmlns="http://schemas.openxmlformats.org/spreadsheetml/2006/main" id="281" name="Rehab_35" displayName="Rehab_35" ref="A144:D159" totalsRowShown="0" headerRowDxfId="4167" dataDxfId="4165" headerRowBorderDxfId="4166" tableBorderDxfId="4164" headerRowCellStyle="40% - Accent6">
  <autoFilter ref="A144:D159"/>
  <tableColumns count="4">
    <tableColumn id="1" name="Expense" dataDxfId="4163"/>
    <tableColumn id="2" name="Description" dataDxfId="4162"/>
    <tableColumn id="4" name="Label Name" dataDxfId="4161"/>
    <tableColumn id="5" name="Amount" dataDxfId="4160" dataCellStyle="40% - Accent6"/>
  </tableColumns>
  <tableStyleInfo name="TableStyleLight18" showFirstColumn="0" showLastColumn="0" showRowStripes="1" showColumnStripes="0"/>
</table>
</file>

<file path=xl/tables/table282.xml><?xml version="1.0" encoding="utf-8"?>
<table xmlns="http://schemas.openxmlformats.org/spreadsheetml/2006/main" id="282" name="Grass_36" displayName="Grass_36" ref="A11:D26" totalsRowShown="0" headerRowDxfId="4159" dataDxfId="4157" headerRowBorderDxfId="4158" tableBorderDxfId="4156" headerRowCellStyle="40% - Accent6">
  <autoFilter ref="A11:D26"/>
  <tableColumns count="4">
    <tableColumn id="1" name="Expense" dataDxfId="4155"/>
    <tableColumn id="2" name="Description" dataDxfId="4154"/>
    <tableColumn id="4" name="Label Name" dataDxfId="4153"/>
    <tableColumn id="5" name="Amount" dataDxfId="4152" dataCellStyle="20% - Accent6"/>
  </tableColumns>
  <tableStyleInfo name="TableStyleLight18" showFirstColumn="0" showLastColumn="0" showRowStripes="1" showColumnStripes="0"/>
</table>
</file>

<file path=xl/tables/table283.xml><?xml version="1.0" encoding="utf-8"?>
<table xmlns="http://schemas.openxmlformats.org/spreadsheetml/2006/main" id="283" name="Tree_36" displayName="Tree_36" ref="A30:D45" totalsRowShown="0" headerRowDxfId="4151" dataDxfId="4149" headerRowBorderDxfId="4150" tableBorderDxfId="4148" headerRowCellStyle="40% - Accent6">
  <autoFilter ref="A30:D45"/>
  <tableColumns count="4">
    <tableColumn id="1" name="Expense" dataDxfId="4147"/>
    <tableColumn id="2" name="Description" dataDxfId="4146"/>
    <tableColumn id="4" name="Label Name" dataDxfId="4145"/>
    <tableColumn id="5" name="Amount" dataDxfId="4144" dataCellStyle="40% - Accent6"/>
  </tableColumns>
  <tableStyleInfo name="TableStyleLight18" showFirstColumn="0" showLastColumn="0" showRowStripes="1" showColumnStripes="0"/>
</table>
</file>

<file path=xl/tables/table284.xml><?xml version="1.0" encoding="utf-8"?>
<table xmlns="http://schemas.openxmlformats.org/spreadsheetml/2006/main" id="284" name="Pest_36" displayName="Pest_36" ref="A49:D64" totalsRowShown="0" headerRowDxfId="4143" dataDxfId="4141" headerRowBorderDxfId="4142" tableBorderDxfId="4140" headerRowCellStyle="40% - Accent6">
  <autoFilter ref="A49:D64"/>
  <tableColumns count="4">
    <tableColumn id="1" name="Expense" dataDxfId="4139"/>
    <tableColumn id="2" name="Description" dataDxfId="4138"/>
    <tableColumn id="4" name="Label Name" dataDxfId="4137"/>
    <tableColumn id="5" name="Amount" dataDxfId="4136" dataCellStyle="40% - Accent6"/>
  </tableColumns>
  <tableStyleInfo name="TableStyleLight18" showFirstColumn="0" showLastColumn="0" showRowStripes="1" showColumnStripes="0"/>
</table>
</file>

<file path=xl/tables/table285.xml><?xml version="1.0" encoding="utf-8"?>
<table xmlns="http://schemas.openxmlformats.org/spreadsheetml/2006/main" id="285" name="Garbage_36" displayName="Garbage_36" ref="A68:D83" totalsRowShown="0" headerRowDxfId="4135" dataDxfId="4133" headerRowBorderDxfId="4134" tableBorderDxfId="4132" headerRowCellStyle="40% - Accent6">
  <autoFilter ref="A68:D83"/>
  <tableColumns count="4">
    <tableColumn id="1" name="Expense" dataDxfId="4131"/>
    <tableColumn id="2" name="Description" dataDxfId="4130"/>
    <tableColumn id="4" name="Label Name" dataDxfId="4129"/>
    <tableColumn id="5" name="Amount" dataDxfId="4128" dataCellStyle="20% - Accent6"/>
  </tableColumns>
  <tableStyleInfo name="TableStyleLight18" showFirstColumn="0" showLastColumn="0" showRowStripes="1" showColumnStripes="0"/>
</table>
</file>

<file path=xl/tables/table286.xml><?xml version="1.0" encoding="utf-8"?>
<table xmlns="http://schemas.openxmlformats.org/spreadsheetml/2006/main" id="286" name="Boarding_36" displayName="Boarding_36" ref="A87:D102" totalsRowShown="0" headerRowDxfId="4127" dataDxfId="4125" headerRowBorderDxfId="4126" tableBorderDxfId="4124" headerRowCellStyle="40% - Accent6">
  <autoFilter ref="A87:D102"/>
  <tableColumns count="4">
    <tableColumn id="1" name="Expense" dataDxfId="4123"/>
    <tableColumn id="2" name="Description" dataDxfId="4122"/>
    <tableColumn id="4" name="Label Name" dataDxfId="4121"/>
    <tableColumn id="5" name="Amount" dataDxfId="4120" dataCellStyle="40% - Accent6"/>
  </tableColumns>
  <tableStyleInfo name="TableStyleLight18" showFirstColumn="0" showLastColumn="0" showRowStripes="1" showColumnStripes="0"/>
</table>
</file>

<file path=xl/tables/table287.xml><?xml version="1.0" encoding="utf-8"?>
<table xmlns="http://schemas.openxmlformats.org/spreadsheetml/2006/main" id="287" name="Fence_36" displayName="Fence_36" ref="A106:D121" totalsRowShown="0" headerRowDxfId="4119" dataDxfId="4117" headerRowBorderDxfId="4118" tableBorderDxfId="4116" headerRowCellStyle="40% - Accent6">
  <autoFilter ref="A106:D121"/>
  <tableColumns count="4">
    <tableColumn id="1" name="Expense" dataDxfId="4115"/>
    <tableColumn id="2" name="Description" dataDxfId="4114"/>
    <tableColumn id="4" name="Label Name" dataDxfId="4113"/>
    <tableColumn id="5" name="Amount" dataDxfId="4112" dataCellStyle="40% - Accent6"/>
  </tableColumns>
  <tableStyleInfo name="TableStyleLight18" showFirstColumn="0" showLastColumn="0" showRowStripes="1" showColumnStripes="0"/>
</table>
</file>

<file path=xl/tables/table288.xml><?xml version="1.0" encoding="utf-8"?>
<table xmlns="http://schemas.openxmlformats.org/spreadsheetml/2006/main" id="288" name="Demolition_36" displayName="Demolition_36" ref="A125:D140" totalsRowShown="0" headerRowDxfId="4111" dataDxfId="4109" headerRowBorderDxfId="4110" tableBorderDxfId="4108" headerRowCellStyle="40% - Accent6">
  <autoFilter ref="A125:D140"/>
  <tableColumns count="4">
    <tableColumn id="1" name="Expense" dataDxfId="4107"/>
    <tableColumn id="2" name="Description" dataDxfId="4106"/>
    <tableColumn id="4" name="Label Name" dataDxfId="4105"/>
    <tableColumn id="5" name="Amount" dataDxfId="4104" dataCellStyle="40% - Accent6"/>
  </tableColumns>
  <tableStyleInfo name="TableStyleLight18" showFirstColumn="0" showLastColumn="0" showRowStripes="1" showColumnStripes="0"/>
</table>
</file>

<file path=xl/tables/table289.xml><?xml version="1.0" encoding="utf-8"?>
<table xmlns="http://schemas.openxmlformats.org/spreadsheetml/2006/main" id="289" name="Rehab_36" displayName="Rehab_36" ref="A144:D159" totalsRowShown="0" headerRowDxfId="4103" dataDxfId="4101" headerRowBorderDxfId="4102" tableBorderDxfId="4100" headerRowCellStyle="40% - Accent6">
  <autoFilter ref="A144:D159"/>
  <tableColumns count="4">
    <tableColumn id="1" name="Expense" dataDxfId="4099"/>
    <tableColumn id="2" name="Description" dataDxfId="4098"/>
    <tableColumn id="4" name="Label Name" dataDxfId="4097"/>
    <tableColumn id="5" name="Amount" dataDxfId="4096" dataCellStyle="40% - Accent6"/>
  </tableColumns>
  <tableStyleInfo name="TableStyleLight18" showFirstColumn="0" showLastColumn="0" showRowStripes="1" showColumnStripes="0"/>
</table>
</file>

<file path=xl/tables/table29.xml><?xml version="1.0" encoding="utf-8"?>
<table xmlns="http://schemas.openxmlformats.org/spreadsheetml/2006/main" id="94" name="Garbage_4" displayName="Garbage_4" ref="A68:D83" totalsRowShown="0" headerRowDxfId="6183" dataDxfId="6181" headerRowBorderDxfId="6182" tableBorderDxfId="6180" headerRowCellStyle="40% - Accent6">
  <autoFilter ref="A68:D83"/>
  <tableColumns count="4">
    <tableColumn id="1" name="Expense" dataDxfId="6179"/>
    <tableColumn id="2" name="Description" dataDxfId="6178"/>
    <tableColumn id="4" name="Label Name" dataDxfId="6177"/>
    <tableColumn id="5" name="Amount" dataDxfId="6176" dataCellStyle="20% - Accent6"/>
  </tableColumns>
  <tableStyleInfo name="TableStyleLight18" showFirstColumn="0" showLastColumn="0" showRowStripes="1" showColumnStripes="0"/>
</table>
</file>

<file path=xl/tables/table290.xml><?xml version="1.0" encoding="utf-8"?>
<table xmlns="http://schemas.openxmlformats.org/spreadsheetml/2006/main" id="290" name="Grass_37" displayName="Grass_37" ref="A11:D26" totalsRowShown="0" headerRowDxfId="4095" dataDxfId="4093" headerRowBorderDxfId="4094" tableBorderDxfId="4092" headerRowCellStyle="40% - Accent6">
  <autoFilter ref="A11:D26"/>
  <tableColumns count="4">
    <tableColumn id="1" name="Expense" dataDxfId="4091"/>
    <tableColumn id="2" name="Description" dataDxfId="4090"/>
    <tableColumn id="4" name="Label Name" dataDxfId="4089"/>
    <tableColumn id="5" name="Amount" dataDxfId="4088" dataCellStyle="20% - Accent6"/>
  </tableColumns>
  <tableStyleInfo name="TableStyleLight18" showFirstColumn="0" showLastColumn="0" showRowStripes="1" showColumnStripes="0"/>
</table>
</file>

<file path=xl/tables/table291.xml><?xml version="1.0" encoding="utf-8"?>
<table xmlns="http://schemas.openxmlformats.org/spreadsheetml/2006/main" id="291" name="Tree_37" displayName="Tree_37" ref="A30:D45" totalsRowShown="0" headerRowDxfId="4087" dataDxfId="4085" headerRowBorderDxfId="4086" tableBorderDxfId="4084" headerRowCellStyle="40% - Accent6">
  <autoFilter ref="A30:D45"/>
  <tableColumns count="4">
    <tableColumn id="1" name="Expense" dataDxfId="4083"/>
    <tableColumn id="2" name="Description" dataDxfId="4082"/>
    <tableColumn id="4" name="Label Name" dataDxfId="4081"/>
    <tableColumn id="5" name="Amount" dataDxfId="4080" dataCellStyle="40% - Accent6"/>
  </tableColumns>
  <tableStyleInfo name="TableStyleLight18" showFirstColumn="0" showLastColumn="0" showRowStripes="1" showColumnStripes="0"/>
</table>
</file>

<file path=xl/tables/table292.xml><?xml version="1.0" encoding="utf-8"?>
<table xmlns="http://schemas.openxmlformats.org/spreadsheetml/2006/main" id="292" name="Pest_37" displayName="Pest_37" ref="A49:D64" totalsRowShown="0" headerRowDxfId="4079" dataDxfId="4077" headerRowBorderDxfId="4078" tableBorderDxfId="4076" headerRowCellStyle="40% - Accent6">
  <autoFilter ref="A49:D64"/>
  <tableColumns count="4">
    <tableColumn id="1" name="Expense" dataDxfId="4075"/>
    <tableColumn id="2" name="Description" dataDxfId="4074"/>
    <tableColumn id="4" name="Label Name" dataDxfId="4073"/>
    <tableColumn id="5" name="Amount" dataDxfId="4072" dataCellStyle="40% - Accent6"/>
  </tableColumns>
  <tableStyleInfo name="TableStyleLight18" showFirstColumn="0" showLastColumn="0" showRowStripes="1" showColumnStripes="0"/>
</table>
</file>

<file path=xl/tables/table293.xml><?xml version="1.0" encoding="utf-8"?>
<table xmlns="http://schemas.openxmlformats.org/spreadsheetml/2006/main" id="293" name="Garbage_37" displayName="Garbage_37" ref="A68:D83" totalsRowShown="0" headerRowDxfId="4071" dataDxfId="4069" headerRowBorderDxfId="4070" tableBorderDxfId="4068" headerRowCellStyle="40% - Accent6">
  <autoFilter ref="A68:D83"/>
  <tableColumns count="4">
    <tableColumn id="1" name="Expense" dataDxfId="4067"/>
    <tableColumn id="2" name="Description" dataDxfId="4066"/>
    <tableColumn id="4" name="Label Name" dataDxfId="4065"/>
    <tableColumn id="5" name="Amount" dataDxfId="4064" dataCellStyle="20% - Accent6"/>
  </tableColumns>
  <tableStyleInfo name="TableStyleLight18" showFirstColumn="0" showLastColumn="0" showRowStripes="1" showColumnStripes="0"/>
</table>
</file>

<file path=xl/tables/table294.xml><?xml version="1.0" encoding="utf-8"?>
<table xmlns="http://schemas.openxmlformats.org/spreadsheetml/2006/main" id="294" name="Boarding_37" displayName="Boarding_37" ref="A87:D102" totalsRowShown="0" headerRowDxfId="4063" dataDxfId="4061" headerRowBorderDxfId="4062" tableBorderDxfId="4060" headerRowCellStyle="40% - Accent6">
  <autoFilter ref="A87:D102"/>
  <tableColumns count="4">
    <tableColumn id="1" name="Expense" dataDxfId="4059"/>
    <tableColumn id="2" name="Description" dataDxfId="4058"/>
    <tableColumn id="4" name="Label Name" dataDxfId="4057"/>
    <tableColumn id="5" name="Amount" dataDxfId="4056" dataCellStyle="40% - Accent6"/>
  </tableColumns>
  <tableStyleInfo name="TableStyleLight18" showFirstColumn="0" showLastColumn="0" showRowStripes="1" showColumnStripes="0"/>
</table>
</file>

<file path=xl/tables/table295.xml><?xml version="1.0" encoding="utf-8"?>
<table xmlns="http://schemas.openxmlformats.org/spreadsheetml/2006/main" id="295" name="Fence_37" displayName="Fence_37" ref="A106:D121" totalsRowShown="0" headerRowDxfId="4055" dataDxfId="4053" headerRowBorderDxfId="4054" tableBorderDxfId="4052" headerRowCellStyle="40% - Accent6">
  <autoFilter ref="A106:D121"/>
  <tableColumns count="4">
    <tableColumn id="1" name="Expense" dataDxfId="4051"/>
    <tableColumn id="2" name="Description" dataDxfId="4050"/>
    <tableColumn id="4" name="Label Name" dataDxfId="4049"/>
    <tableColumn id="5" name="Amount" dataDxfId="4048" dataCellStyle="40% - Accent6"/>
  </tableColumns>
  <tableStyleInfo name="TableStyleLight18" showFirstColumn="0" showLastColumn="0" showRowStripes="1" showColumnStripes="0"/>
</table>
</file>

<file path=xl/tables/table296.xml><?xml version="1.0" encoding="utf-8"?>
<table xmlns="http://schemas.openxmlformats.org/spreadsheetml/2006/main" id="296" name="Demolition_37" displayName="Demolition_37" ref="A125:D140" totalsRowShown="0" headerRowDxfId="4047" dataDxfId="4045" headerRowBorderDxfId="4046" tableBorderDxfId="4044" headerRowCellStyle="40% - Accent6">
  <autoFilter ref="A125:D140"/>
  <tableColumns count="4">
    <tableColumn id="1" name="Expense" dataDxfId="4043"/>
    <tableColumn id="2" name="Description" dataDxfId="4042"/>
    <tableColumn id="4" name="Label Name" dataDxfId="4041"/>
    <tableColumn id="5" name="Amount" dataDxfId="4040" dataCellStyle="40% - Accent6"/>
  </tableColumns>
  <tableStyleInfo name="TableStyleLight18" showFirstColumn="0" showLastColumn="0" showRowStripes="1" showColumnStripes="0"/>
</table>
</file>

<file path=xl/tables/table297.xml><?xml version="1.0" encoding="utf-8"?>
<table xmlns="http://schemas.openxmlformats.org/spreadsheetml/2006/main" id="297" name="Rehab_37" displayName="Rehab_37" ref="A144:D159" totalsRowShown="0" headerRowDxfId="4039" dataDxfId="4037" headerRowBorderDxfId="4038" tableBorderDxfId="4036" headerRowCellStyle="40% - Accent6">
  <autoFilter ref="A144:D159"/>
  <tableColumns count="4">
    <tableColumn id="1" name="Expense" dataDxfId="4035"/>
    <tableColumn id="2" name="Description" dataDxfId="4034"/>
    <tableColumn id="4" name="Label Name" dataDxfId="4033"/>
    <tableColumn id="5" name="Amount" dataDxfId="4032" dataCellStyle="40% - Accent6"/>
  </tableColumns>
  <tableStyleInfo name="TableStyleLight18" showFirstColumn="0" showLastColumn="0" showRowStripes="1" showColumnStripes="0"/>
</table>
</file>

<file path=xl/tables/table298.xml><?xml version="1.0" encoding="utf-8"?>
<table xmlns="http://schemas.openxmlformats.org/spreadsheetml/2006/main" id="298" name="Grass_38" displayName="Grass_38" ref="A11:D26" totalsRowShown="0" headerRowDxfId="4031" dataDxfId="4029" headerRowBorderDxfId="4030" tableBorderDxfId="4028" headerRowCellStyle="40% - Accent6">
  <autoFilter ref="A11:D26"/>
  <tableColumns count="4">
    <tableColumn id="1" name="Expense" dataDxfId="4027"/>
    <tableColumn id="2" name="Description" dataDxfId="4026"/>
    <tableColumn id="4" name="Label Name" dataDxfId="4025"/>
    <tableColumn id="5" name="Amount" dataDxfId="4024" dataCellStyle="20% - Accent6"/>
  </tableColumns>
  <tableStyleInfo name="TableStyleLight18" showFirstColumn="0" showLastColumn="0" showRowStripes="1" showColumnStripes="0"/>
</table>
</file>

<file path=xl/tables/table299.xml><?xml version="1.0" encoding="utf-8"?>
<table xmlns="http://schemas.openxmlformats.org/spreadsheetml/2006/main" id="299" name="Tree_38" displayName="Tree_38" ref="A30:D45" totalsRowShown="0" headerRowDxfId="4023" dataDxfId="4021" headerRowBorderDxfId="4022" tableBorderDxfId="4020" headerRowCellStyle="40% - Accent6">
  <autoFilter ref="A30:D45"/>
  <tableColumns count="4">
    <tableColumn id="1" name="Expense" dataDxfId="4019"/>
    <tableColumn id="2" name="Description" dataDxfId="4018"/>
    <tableColumn id="4" name="Label Name" dataDxfId="4017"/>
    <tableColumn id="5" name="Amount" dataDxfId="4016" dataCellStyle="40% - Accent6"/>
  </tableColumns>
  <tableStyleInfo name="TableStyleLight18" showFirstColumn="0" showLastColumn="0" showRowStripes="1" showColumnStripes="0"/>
</table>
</file>

<file path=xl/tables/table3.xml><?xml version="1.0" encoding="utf-8"?>
<table xmlns="http://schemas.openxmlformats.org/spreadsheetml/2006/main" id="3" name="Tree_1" displayName="Tree_1" ref="A30:D45" totalsRowShown="0" headerRowDxfId="6391" dataDxfId="6389" headerRowBorderDxfId="6390" tableBorderDxfId="6388" headerRowCellStyle="40% - Accent6">
  <autoFilter ref="A30:D45"/>
  <tableColumns count="4">
    <tableColumn id="1" name="Expense" dataDxfId="6387"/>
    <tableColumn id="2" name="Description" dataDxfId="6386"/>
    <tableColumn id="4" name="Label Name" dataDxfId="6385"/>
    <tableColumn id="5" name="Amount" dataDxfId="6384" dataCellStyle="40% - Accent6"/>
  </tableColumns>
  <tableStyleInfo name="TableStyleLight18" showFirstColumn="0" showLastColumn="0" showRowStripes="1" showColumnStripes="0"/>
</table>
</file>

<file path=xl/tables/table30.xml><?xml version="1.0" encoding="utf-8"?>
<table xmlns="http://schemas.openxmlformats.org/spreadsheetml/2006/main" id="95" name="Boarding_4" displayName="Boarding_4" ref="A87:D102" totalsRowShown="0" headerRowDxfId="6175" dataDxfId="6173" headerRowBorderDxfId="6174" tableBorderDxfId="6172" headerRowCellStyle="40% - Accent6">
  <autoFilter ref="A87:D102"/>
  <tableColumns count="4">
    <tableColumn id="1" name="Expense" dataDxfId="6171"/>
    <tableColumn id="2" name="Description" dataDxfId="6170"/>
    <tableColumn id="4" name="Label Name" dataDxfId="6169"/>
    <tableColumn id="5" name="Amount" dataDxfId="6168" dataCellStyle="40% - Accent6"/>
  </tableColumns>
  <tableStyleInfo name="TableStyleLight18" showFirstColumn="0" showLastColumn="0" showRowStripes="1" showColumnStripes="0"/>
</table>
</file>

<file path=xl/tables/table300.xml><?xml version="1.0" encoding="utf-8"?>
<table xmlns="http://schemas.openxmlformats.org/spreadsheetml/2006/main" id="300" name="Pest_38" displayName="Pest_38" ref="A49:D64" totalsRowShown="0" headerRowDxfId="4015" dataDxfId="4013" headerRowBorderDxfId="4014" tableBorderDxfId="4012" headerRowCellStyle="40% - Accent6">
  <autoFilter ref="A49:D64"/>
  <tableColumns count="4">
    <tableColumn id="1" name="Expense" dataDxfId="4011"/>
    <tableColumn id="2" name="Description" dataDxfId="4010"/>
    <tableColumn id="4" name="Label Name" dataDxfId="4009"/>
    <tableColumn id="5" name="Amount" dataDxfId="4008" dataCellStyle="40% - Accent6"/>
  </tableColumns>
  <tableStyleInfo name="TableStyleLight18" showFirstColumn="0" showLastColumn="0" showRowStripes="1" showColumnStripes="0"/>
</table>
</file>

<file path=xl/tables/table301.xml><?xml version="1.0" encoding="utf-8"?>
<table xmlns="http://schemas.openxmlformats.org/spreadsheetml/2006/main" id="301" name="Garbage_38" displayName="Garbage_38" ref="A68:D83" totalsRowShown="0" headerRowDxfId="4007" dataDxfId="4005" headerRowBorderDxfId="4006" tableBorderDxfId="4004" headerRowCellStyle="40% - Accent6">
  <autoFilter ref="A68:D83"/>
  <tableColumns count="4">
    <tableColumn id="1" name="Expense" dataDxfId="4003"/>
    <tableColumn id="2" name="Description" dataDxfId="4002"/>
    <tableColumn id="4" name="Label Name" dataDxfId="4001"/>
    <tableColumn id="5" name="Amount" dataDxfId="4000" dataCellStyle="20% - Accent6"/>
  </tableColumns>
  <tableStyleInfo name="TableStyleLight18" showFirstColumn="0" showLastColumn="0" showRowStripes="1" showColumnStripes="0"/>
</table>
</file>

<file path=xl/tables/table302.xml><?xml version="1.0" encoding="utf-8"?>
<table xmlns="http://schemas.openxmlformats.org/spreadsheetml/2006/main" id="302" name="Boarding_38" displayName="Boarding_38" ref="A87:D102" totalsRowShown="0" headerRowDxfId="3999" dataDxfId="3997" headerRowBorderDxfId="3998" tableBorderDxfId="3996" headerRowCellStyle="40% - Accent6">
  <autoFilter ref="A87:D102"/>
  <tableColumns count="4">
    <tableColumn id="1" name="Expense" dataDxfId="3995"/>
    <tableColumn id="2" name="Description" dataDxfId="3994"/>
    <tableColumn id="4" name="Label Name" dataDxfId="3993"/>
    <tableColumn id="5" name="Amount" dataDxfId="3992" dataCellStyle="40% - Accent6"/>
  </tableColumns>
  <tableStyleInfo name="TableStyleLight18" showFirstColumn="0" showLastColumn="0" showRowStripes="1" showColumnStripes="0"/>
</table>
</file>

<file path=xl/tables/table303.xml><?xml version="1.0" encoding="utf-8"?>
<table xmlns="http://schemas.openxmlformats.org/spreadsheetml/2006/main" id="303" name="Fence_38" displayName="Fence_38" ref="A106:D121" totalsRowShown="0" headerRowDxfId="3991" dataDxfId="3989" headerRowBorderDxfId="3990" tableBorderDxfId="3988" headerRowCellStyle="40% - Accent6">
  <autoFilter ref="A106:D121"/>
  <tableColumns count="4">
    <tableColumn id="1" name="Expense" dataDxfId="3987"/>
    <tableColumn id="2" name="Description" dataDxfId="3986"/>
    <tableColumn id="4" name="Label Name" dataDxfId="3985"/>
    <tableColumn id="5" name="Amount" dataDxfId="3984" dataCellStyle="40% - Accent6"/>
  </tableColumns>
  <tableStyleInfo name="TableStyleLight18" showFirstColumn="0" showLastColumn="0" showRowStripes="1" showColumnStripes="0"/>
</table>
</file>

<file path=xl/tables/table304.xml><?xml version="1.0" encoding="utf-8"?>
<table xmlns="http://schemas.openxmlformats.org/spreadsheetml/2006/main" id="304" name="Demolition_38" displayName="Demolition_38" ref="A125:D140" totalsRowShown="0" headerRowDxfId="3983" dataDxfId="3981" headerRowBorderDxfId="3982" tableBorderDxfId="3980" headerRowCellStyle="40% - Accent6">
  <autoFilter ref="A125:D140"/>
  <tableColumns count="4">
    <tableColumn id="1" name="Expense" dataDxfId="3979"/>
    <tableColumn id="2" name="Description" dataDxfId="3978"/>
    <tableColumn id="4" name="Label Name" dataDxfId="3977"/>
    <tableColumn id="5" name="Amount" dataDxfId="3976" dataCellStyle="40% - Accent6"/>
  </tableColumns>
  <tableStyleInfo name="TableStyleLight18" showFirstColumn="0" showLastColumn="0" showRowStripes="1" showColumnStripes="0"/>
</table>
</file>

<file path=xl/tables/table305.xml><?xml version="1.0" encoding="utf-8"?>
<table xmlns="http://schemas.openxmlformats.org/spreadsheetml/2006/main" id="305" name="Rehab_38" displayName="Rehab_38" ref="A144:D159" totalsRowShown="0" headerRowDxfId="3975" dataDxfId="3973" headerRowBorderDxfId="3974" tableBorderDxfId="3972" headerRowCellStyle="40% - Accent6">
  <autoFilter ref="A144:D159"/>
  <tableColumns count="4">
    <tableColumn id="1" name="Expense" dataDxfId="3971"/>
    <tableColumn id="2" name="Description" dataDxfId="3970"/>
    <tableColumn id="4" name="Label Name" dataDxfId="3969"/>
    <tableColumn id="5" name="Amount" dataDxfId="3968" dataCellStyle="40% - Accent6"/>
  </tableColumns>
  <tableStyleInfo name="TableStyleLight18" showFirstColumn="0" showLastColumn="0" showRowStripes="1" showColumnStripes="0"/>
</table>
</file>

<file path=xl/tables/table306.xml><?xml version="1.0" encoding="utf-8"?>
<table xmlns="http://schemas.openxmlformats.org/spreadsheetml/2006/main" id="306" name="Grass_39" displayName="Grass_39" ref="A11:D26" totalsRowShown="0" headerRowDxfId="3967" dataDxfId="3965" headerRowBorderDxfId="3966" tableBorderDxfId="3964" headerRowCellStyle="40% - Accent6">
  <autoFilter ref="A11:D26"/>
  <tableColumns count="4">
    <tableColumn id="1" name="Expense" dataDxfId="3963"/>
    <tableColumn id="2" name="Description" dataDxfId="3962"/>
    <tableColumn id="4" name="Label Name" dataDxfId="3961"/>
    <tableColumn id="5" name="Amount" dataDxfId="3960" dataCellStyle="20% - Accent6"/>
  </tableColumns>
  <tableStyleInfo name="TableStyleLight18" showFirstColumn="0" showLastColumn="0" showRowStripes="1" showColumnStripes="0"/>
</table>
</file>

<file path=xl/tables/table307.xml><?xml version="1.0" encoding="utf-8"?>
<table xmlns="http://schemas.openxmlformats.org/spreadsheetml/2006/main" id="307" name="Tree_39" displayName="Tree_39" ref="A30:D45" totalsRowShown="0" headerRowDxfId="3959" dataDxfId="3957" headerRowBorderDxfId="3958" tableBorderDxfId="3956" headerRowCellStyle="40% - Accent6">
  <autoFilter ref="A30:D45"/>
  <tableColumns count="4">
    <tableColumn id="1" name="Expense" dataDxfId="3955"/>
    <tableColumn id="2" name="Description" dataDxfId="3954"/>
    <tableColumn id="4" name="Label Name" dataDxfId="3953"/>
    <tableColumn id="5" name="Amount" dataDxfId="3952" dataCellStyle="40% - Accent6"/>
  </tableColumns>
  <tableStyleInfo name="TableStyleLight18" showFirstColumn="0" showLastColumn="0" showRowStripes="1" showColumnStripes="0"/>
</table>
</file>

<file path=xl/tables/table308.xml><?xml version="1.0" encoding="utf-8"?>
<table xmlns="http://schemas.openxmlformats.org/spreadsheetml/2006/main" id="308" name="Pest_39" displayName="Pest_39" ref="A49:D64" totalsRowShown="0" headerRowDxfId="3951" dataDxfId="3949" headerRowBorderDxfId="3950" tableBorderDxfId="3948" headerRowCellStyle="40% - Accent6">
  <autoFilter ref="A49:D64"/>
  <tableColumns count="4">
    <tableColumn id="1" name="Expense" dataDxfId="3947"/>
    <tableColumn id="2" name="Description" dataDxfId="3946"/>
    <tableColumn id="4" name="Label Name" dataDxfId="3945"/>
    <tableColumn id="5" name="Amount" dataDxfId="3944" dataCellStyle="40% - Accent6"/>
  </tableColumns>
  <tableStyleInfo name="TableStyleLight18" showFirstColumn="0" showLastColumn="0" showRowStripes="1" showColumnStripes="0"/>
</table>
</file>

<file path=xl/tables/table309.xml><?xml version="1.0" encoding="utf-8"?>
<table xmlns="http://schemas.openxmlformats.org/spreadsheetml/2006/main" id="309" name="Garbage_39" displayName="Garbage_39" ref="A68:D83" totalsRowShown="0" headerRowDxfId="3943" dataDxfId="3941" headerRowBorderDxfId="3942" tableBorderDxfId="3940" headerRowCellStyle="40% - Accent6">
  <autoFilter ref="A68:D83"/>
  <tableColumns count="4">
    <tableColumn id="1" name="Expense" dataDxfId="3939"/>
    <tableColumn id="2" name="Description" dataDxfId="3938"/>
    <tableColumn id="4" name="Label Name" dataDxfId="3937"/>
    <tableColumn id="5" name="Amount" dataDxfId="3936" dataCellStyle="20% - Accent6"/>
  </tableColumns>
  <tableStyleInfo name="TableStyleLight18" showFirstColumn="0" showLastColumn="0" showRowStripes="1" showColumnStripes="0"/>
</table>
</file>

<file path=xl/tables/table31.xml><?xml version="1.0" encoding="utf-8"?>
<table xmlns="http://schemas.openxmlformats.org/spreadsheetml/2006/main" id="96" name="Fence_4" displayName="Fence_4" ref="A106:D121" totalsRowShown="0" headerRowDxfId="6167" dataDxfId="6165" headerRowBorderDxfId="6166" tableBorderDxfId="6164" headerRowCellStyle="40% - Accent6">
  <autoFilter ref="A106:D121"/>
  <tableColumns count="4">
    <tableColumn id="1" name="Expense" dataDxfId="6163"/>
    <tableColumn id="2" name="Description" dataDxfId="6162"/>
    <tableColumn id="4" name="Label Name" dataDxfId="6161"/>
    <tableColumn id="5" name="Amount" dataDxfId="6160" dataCellStyle="40% - Accent6"/>
  </tableColumns>
  <tableStyleInfo name="TableStyleLight18" showFirstColumn="0" showLastColumn="0" showRowStripes="1" showColumnStripes="0"/>
</table>
</file>

<file path=xl/tables/table310.xml><?xml version="1.0" encoding="utf-8"?>
<table xmlns="http://schemas.openxmlformats.org/spreadsheetml/2006/main" id="310" name="Boarding_39" displayName="Boarding_39" ref="A87:D102" totalsRowShown="0" headerRowDxfId="3935" dataDxfId="3933" headerRowBorderDxfId="3934" tableBorderDxfId="3932" headerRowCellStyle="40% - Accent6">
  <autoFilter ref="A87:D102"/>
  <tableColumns count="4">
    <tableColumn id="1" name="Expense" dataDxfId="3931"/>
    <tableColumn id="2" name="Description" dataDxfId="3930"/>
    <tableColumn id="4" name="Label Name" dataDxfId="3929"/>
    <tableColumn id="5" name="Amount" dataDxfId="3928" dataCellStyle="40% - Accent6"/>
  </tableColumns>
  <tableStyleInfo name="TableStyleLight18" showFirstColumn="0" showLastColumn="0" showRowStripes="1" showColumnStripes="0"/>
</table>
</file>

<file path=xl/tables/table311.xml><?xml version="1.0" encoding="utf-8"?>
<table xmlns="http://schemas.openxmlformats.org/spreadsheetml/2006/main" id="311" name="Fence_39" displayName="Fence_39" ref="A106:D121" totalsRowShown="0" headerRowDxfId="3927" dataDxfId="3925" headerRowBorderDxfId="3926" tableBorderDxfId="3924" headerRowCellStyle="40% - Accent6">
  <autoFilter ref="A106:D121"/>
  <tableColumns count="4">
    <tableColumn id="1" name="Expense" dataDxfId="3923"/>
    <tableColumn id="2" name="Description" dataDxfId="3922"/>
    <tableColumn id="4" name="Label Name" dataDxfId="3921"/>
    <tableColumn id="5" name="Amount" dataDxfId="3920" dataCellStyle="40% - Accent6"/>
  </tableColumns>
  <tableStyleInfo name="TableStyleLight18" showFirstColumn="0" showLastColumn="0" showRowStripes="1" showColumnStripes="0"/>
</table>
</file>

<file path=xl/tables/table312.xml><?xml version="1.0" encoding="utf-8"?>
<table xmlns="http://schemas.openxmlformats.org/spreadsheetml/2006/main" id="312" name="Demolition_39" displayName="Demolition_39" ref="A125:D140" totalsRowShown="0" headerRowDxfId="3919" dataDxfId="3917" headerRowBorderDxfId="3918" tableBorderDxfId="3916" headerRowCellStyle="40% - Accent6">
  <autoFilter ref="A125:D140"/>
  <tableColumns count="4">
    <tableColumn id="1" name="Expense" dataDxfId="3915"/>
    <tableColumn id="2" name="Description" dataDxfId="3914"/>
    <tableColumn id="4" name="Label Name" dataDxfId="3913"/>
    <tableColumn id="5" name="Amount" dataDxfId="3912" dataCellStyle="40% - Accent6"/>
  </tableColumns>
  <tableStyleInfo name="TableStyleLight18" showFirstColumn="0" showLastColumn="0" showRowStripes="1" showColumnStripes="0"/>
</table>
</file>

<file path=xl/tables/table313.xml><?xml version="1.0" encoding="utf-8"?>
<table xmlns="http://schemas.openxmlformats.org/spreadsheetml/2006/main" id="313" name="Rehab_39" displayName="Rehab_39" ref="A144:D159" totalsRowShown="0" headerRowDxfId="3911" dataDxfId="3909" headerRowBorderDxfId="3910" tableBorderDxfId="3908" headerRowCellStyle="40% - Accent6">
  <autoFilter ref="A144:D159"/>
  <tableColumns count="4">
    <tableColumn id="1" name="Expense" dataDxfId="3907"/>
    <tableColumn id="2" name="Description" dataDxfId="3906"/>
    <tableColumn id="4" name="Label Name" dataDxfId="3905"/>
    <tableColumn id="5" name="Amount" dataDxfId="3904" dataCellStyle="40% - Accent6"/>
  </tableColumns>
  <tableStyleInfo name="TableStyleLight18" showFirstColumn="0" showLastColumn="0" showRowStripes="1" showColumnStripes="0"/>
</table>
</file>

<file path=xl/tables/table314.xml><?xml version="1.0" encoding="utf-8"?>
<table xmlns="http://schemas.openxmlformats.org/spreadsheetml/2006/main" id="314" name="Grass_40" displayName="Grass_40" ref="A11:D26" totalsRowShown="0" headerRowDxfId="3903" dataDxfId="3901" headerRowBorderDxfId="3902" tableBorderDxfId="3900" headerRowCellStyle="40% - Accent6">
  <autoFilter ref="A11:D26"/>
  <tableColumns count="4">
    <tableColumn id="1" name="Expense" dataDxfId="3899"/>
    <tableColumn id="2" name="Description" dataDxfId="3898"/>
    <tableColumn id="4" name="Label Name" dataDxfId="3897"/>
    <tableColumn id="5" name="Amount" dataDxfId="3896" dataCellStyle="20% - Accent6"/>
  </tableColumns>
  <tableStyleInfo name="TableStyleLight18" showFirstColumn="0" showLastColumn="0" showRowStripes="1" showColumnStripes="0"/>
</table>
</file>

<file path=xl/tables/table315.xml><?xml version="1.0" encoding="utf-8"?>
<table xmlns="http://schemas.openxmlformats.org/spreadsheetml/2006/main" id="315" name="Tree_40" displayName="Tree_40" ref="A30:D45" totalsRowShown="0" headerRowDxfId="3895" dataDxfId="3893" headerRowBorderDxfId="3894" tableBorderDxfId="3892" headerRowCellStyle="40% - Accent6">
  <autoFilter ref="A30:D45"/>
  <tableColumns count="4">
    <tableColumn id="1" name="Expense" dataDxfId="3891"/>
    <tableColumn id="2" name="Description" dataDxfId="3890"/>
    <tableColumn id="4" name="Label Name" dataDxfId="3889"/>
    <tableColumn id="5" name="Amount" dataDxfId="3888" dataCellStyle="40% - Accent6"/>
  </tableColumns>
  <tableStyleInfo name="TableStyleLight18" showFirstColumn="0" showLastColumn="0" showRowStripes="1" showColumnStripes="0"/>
</table>
</file>

<file path=xl/tables/table316.xml><?xml version="1.0" encoding="utf-8"?>
<table xmlns="http://schemas.openxmlformats.org/spreadsheetml/2006/main" id="316" name="Pest_40" displayName="Pest_40" ref="A49:D64" totalsRowShown="0" headerRowDxfId="3887" dataDxfId="3885" headerRowBorderDxfId="3886" tableBorderDxfId="3884" headerRowCellStyle="40% - Accent6">
  <autoFilter ref="A49:D64"/>
  <tableColumns count="4">
    <tableColumn id="1" name="Expense" dataDxfId="3883"/>
    <tableColumn id="2" name="Description" dataDxfId="3882"/>
    <tableColumn id="4" name="Label Name" dataDxfId="3881"/>
    <tableColumn id="5" name="Amount" dataDxfId="3880" dataCellStyle="40% - Accent6"/>
  </tableColumns>
  <tableStyleInfo name="TableStyleLight18" showFirstColumn="0" showLastColumn="0" showRowStripes="1" showColumnStripes="0"/>
</table>
</file>

<file path=xl/tables/table317.xml><?xml version="1.0" encoding="utf-8"?>
<table xmlns="http://schemas.openxmlformats.org/spreadsheetml/2006/main" id="317" name="Garbage_40" displayName="Garbage_40" ref="A68:D83" totalsRowShown="0" headerRowDxfId="3879" dataDxfId="3877" headerRowBorderDxfId="3878" tableBorderDxfId="3876" headerRowCellStyle="40% - Accent6">
  <autoFilter ref="A68:D83"/>
  <tableColumns count="4">
    <tableColumn id="1" name="Expense" dataDxfId="3875"/>
    <tableColumn id="2" name="Description" dataDxfId="3874"/>
    <tableColumn id="4" name="Label Name" dataDxfId="3873"/>
    <tableColumn id="5" name="Amount" dataDxfId="3872" dataCellStyle="20% - Accent6"/>
  </tableColumns>
  <tableStyleInfo name="TableStyleLight18" showFirstColumn="0" showLastColumn="0" showRowStripes="1" showColumnStripes="0"/>
</table>
</file>

<file path=xl/tables/table318.xml><?xml version="1.0" encoding="utf-8"?>
<table xmlns="http://schemas.openxmlformats.org/spreadsheetml/2006/main" id="318" name="Boarding_40" displayName="Boarding_40" ref="A87:D102" totalsRowShown="0" headerRowDxfId="3871" dataDxfId="3869" headerRowBorderDxfId="3870" tableBorderDxfId="3868" headerRowCellStyle="40% - Accent6">
  <autoFilter ref="A87:D102"/>
  <tableColumns count="4">
    <tableColumn id="1" name="Expense" dataDxfId="3867"/>
    <tableColumn id="2" name="Description" dataDxfId="3866"/>
    <tableColumn id="4" name="Label Name" dataDxfId="3865"/>
    <tableColumn id="5" name="Amount" dataDxfId="3864" dataCellStyle="40% - Accent6"/>
  </tableColumns>
  <tableStyleInfo name="TableStyleLight18" showFirstColumn="0" showLastColumn="0" showRowStripes="1" showColumnStripes="0"/>
</table>
</file>

<file path=xl/tables/table319.xml><?xml version="1.0" encoding="utf-8"?>
<table xmlns="http://schemas.openxmlformats.org/spreadsheetml/2006/main" id="319" name="Fence_40" displayName="Fence_40" ref="A106:D121" totalsRowShown="0" headerRowDxfId="3863" dataDxfId="3861" headerRowBorderDxfId="3862" tableBorderDxfId="3860" headerRowCellStyle="40% - Accent6">
  <autoFilter ref="A106:D121"/>
  <tableColumns count="4">
    <tableColumn id="1" name="Expense" dataDxfId="3859"/>
    <tableColumn id="2" name="Description" dataDxfId="3858"/>
    <tableColumn id="4" name="Label Name" dataDxfId="3857"/>
    <tableColumn id="5" name="Amount" dataDxfId="3856" dataCellStyle="40% - Accent6"/>
  </tableColumns>
  <tableStyleInfo name="TableStyleLight18" showFirstColumn="0" showLastColumn="0" showRowStripes="1" showColumnStripes="0"/>
</table>
</file>

<file path=xl/tables/table32.xml><?xml version="1.0" encoding="utf-8"?>
<table xmlns="http://schemas.openxmlformats.org/spreadsheetml/2006/main" id="97" name="Demolition_4" displayName="Demolition_4" ref="A125:D140" totalsRowShown="0" headerRowDxfId="6159" dataDxfId="6157" headerRowBorderDxfId="6158" tableBorderDxfId="6156" headerRowCellStyle="40% - Accent6">
  <autoFilter ref="A125:D140"/>
  <tableColumns count="4">
    <tableColumn id="1" name="Expense" dataDxfId="6155"/>
    <tableColumn id="2" name="Description" dataDxfId="6154"/>
    <tableColumn id="4" name="Label Name" dataDxfId="6153"/>
    <tableColumn id="5" name="Amount" dataDxfId="6152" dataCellStyle="40% - Accent6"/>
  </tableColumns>
  <tableStyleInfo name="TableStyleLight18" showFirstColumn="0" showLastColumn="0" showRowStripes="1" showColumnStripes="0"/>
</table>
</file>

<file path=xl/tables/table320.xml><?xml version="1.0" encoding="utf-8"?>
<table xmlns="http://schemas.openxmlformats.org/spreadsheetml/2006/main" id="320" name="Demolition_40" displayName="Demolition_40" ref="A125:D140" totalsRowShown="0" headerRowDxfId="3855" dataDxfId="3853" headerRowBorderDxfId="3854" tableBorderDxfId="3852" headerRowCellStyle="40% - Accent6">
  <autoFilter ref="A125:D140"/>
  <tableColumns count="4">
    <tableColumn id="1" name="Expense" dataDxfId="3851"/>
    <tableColumn id="2" name="Description" dataDxfId="3850"/>
    <tableColumn id="4" name="Label Name" dataDxfId="3849"/>
    <tableColumn id="5" name="Amount" dataDxfId="3848" dataCellStyle="40% - Accent6"/>
  </tableColumns>
  <tableStyleInfo name="TableStyleLight18" showFirstColumn="0" showLastColumn="0" showRowStripes="1" showColumnStripes="0"/>
</table>
</file>

<file path=xl/tables/table321.xml><?xml version="1.0" encoding="utf-8"?>
<table xmlns="http://schemas.openxmlformats.org/spreadsheetml/2006/main" id="321" name="Rehab_40" displayName="Rehab_40" ref="A144:D159" totalsRowShown="0" headerRowDxfId="3847" dataDxfId="3845" headerRowBorderDxfId="3846" tableBorderDxfId="3844" headerRowCellStyle="40% - Accent6">
  <autoFilter ref="A144:D159"/>
  <tableColumns count="4">
    <tableColumn id="1" name="Expense" dataDxfId="3843"/>
    <tableColumn id="2" name="Description" dataDxfId="3842"/>
    <tableColumn id="4" name="Label Name" dataDxfId="3841"/>
    <tableColumn id="5" name="Amount" dataDxfId="3840" dataCellStyle="40% - Accent6"/>
  </tableColumns>
  <tableStyleInfo name="TableStyleLight18" showFirstColumn="0" showLastColumn="0" showRowStripes="1" showColumnStripes="0"/>
</table>
</file>

<file path=xl/tables/table322.xml><?xml version="1.0" encoding="utf-8"?>
<table xmlns="http://schemas.openxmlformats.org/spreadsheetml/2006/main" id="322" name="Grass_41" displayName="Grass_41" ref="A11:D26" totalsRowShown="0" headerRowDxfId="3839" dataDxfId="3837" headerRowBorderDxfId="3838" tableBorderDxfId="3836" headerRowCellStyle="40% - Accent6">
  <autoFilter ref="A11:D26"/>
  <tableColumns count="4">
    <tableColumn id="1" name="Expense" dataDxfId="3835"/>
    <tableColumn id="2" name="Description" dataDxfId="3834"/>
    <tableColumn id="4" name="Label Name" dataDxfId="3833"/>
    <tableColumn id="5" name="Amount" dataDxfId="3832" dataCellStyle="20% - Accent6"/>
  </tableColumns>
  <tableStyleInfo name="TableStyleLight18" showFirstColumn="0" showLastColumn="0" showRowStripes="1" showColumnStripes="0"/>
</table>
</file>

<file path=xl/tables/table323.xml><?xml version="1.0" encoding="utf-8"?>
<table xmlns="http://schemas.openxmlformats.org/spreadsheetml/2006/main" id="323" name="Tree_41" displayName="Tree_41" ref="A30:D45" totalsRowShown="0" headerRowDxfId="3831" dataDxfId="3829" headerRowBorderDxfId="3830" tableBorderDxfId="3828" headerRowCellStyle="40% - Accent6">
  <autoFilter ref="A30:D45"/>
  <tableColumns count="4">
    <tableColumn id="1" name="Expense" dataDxfId="3827"/>
    <tableColumn id="2" name="Description" dataDxfId="3826"/>
    <tableColumn id="4" name="Label Name" dataDxfId="3825"/>
    <tableColumn id="5" name="Amount" dataDxfId="3824" dataCellStyle="40% - Accent6"/>
  </tableColumns>
  <tableStyleInfo name="TableStyleLight18" showFirstColumn="0" showLastColumn="0" showRowStripes="1" showColumnStripes="0"/>
</table>
</file>

<file path=xl/tables/table324.xml><?xml version="1.0" encoding="utf-8"?>
<table xmlns="http://schemas.openxmlformats.org/spreadsheetml/2006/main" id="324" name="Pest_41" displayName="Pest_41" ref="A49:D64" totalsRowShown="0" headerRowDxfId="3823" dataDxfId="3821" headerRowBorderDxfId="3822" tableBorderDxfId="3820" headerRowCellStyle="40% - Accent6">
  <autoFilter ref="A49:D64"/>
  <tableColumns count="4">
    <tableColumn id="1" name="Expense" dataDxfId="3819"/>
    <tableColumn id="2" name="Description" dataDxfId="3818"/>
    <tableColumn id="4" name="Label Name" dataDxfId="3817"/>
    <tableColumn id="5" name="Amount" dataDxfId="3816" dataCellStyle="40% - Accent6"/>
  </tableColumns>
  <tableStyleInfo name="TableStyleLight18" showFirstColumn="0" showLastColumn="0" showRowStripes="1" showColumnStripes="0"/>
</table>
</file>

<file path=xl/tables/table325.xml><?xml version="1.0" encoding="utf-8"?>
<table xmlns="http://schemas.openxmlformats.org/spreadsheetml/2006/main" id="325" name="Garbage_41" displayName="Garbage_41" ref="A68:D83" totalsRowShown="0" headerRowDxfId="3815" dataDxfId="3813" headerRowBorderDxfId="3814" tableBorderDxfId="3812" headerRowCellStyle="40% - Accent6">
  <autoFilter ref="A68:D83"/>
  <tableColumns count="4">
    <tableColumn id="1" name="Expense" dataDxfId="3811"/>
    <tableColumn id="2" name="Description" dataDxfId="3810"/>
    <tableColumn id="4" name="Label Name" dataDxfId="3809"/>
    <tableColumn id="5" name="Amount" dataDxfId="3808" dataCellStyle="20% - Accent6"/>
  </tableColumns>
  <tableStyleInfo name="TableStyleLight18" showFirstColumn="0" showLastColumn="0" showRowStripes="1" showColumnStripes="0"/>
</table>
</file>

<file path=xl/tables/table326.xml><?xml version="1.0" encoding="utf-8"?>
<table xmlns="http://schemas.openxmlformats.org/spreadsheetml/2006/main" id="326" name="Boarding_41" displayName="Boarding_41" ref="A87:D102" totalsRowShown="0" headerRowDxfId="3807" dataDxfId="3805" headerRowBorderDxfId="3806" tableBorderDxfId="3804" headerRowCellStyle="40% - Accent6">
  <autoFilter ref="A87:D102"/>
  <tableColumns count="4">
    <tableColumn id="1" name="Expense" dataDxfId="3803"/>
    <tableColumn id="2" name="Description" dataDxfId="3802"/>
    <tableColumn id="4" name="Label Name" dataDxfId="3801"/>
    <tableColumn id="5" name="Amount" dataDxfId="3800" dataCellStyle="40% - Accent6"/>
  </tableColumns>
  <tableStyleInfo name="TableStyleLight18" showFirstColumn="0" showLastColumn="0" showRowStripes="1" showColumnStripes="0"/>
</table>
</file>

<file path=xl/tables/table327.xml><?xml version="1.0" encoding="utf-8"?>
<table xmlns="http://schemas.openxmlformats.org/spreadsheetml/2006/main" id="327" name="Fence_41" displayName="Fence_41" ref="A106:D121" totalsRowShown="0" headerRowDxfId="3799" dataDxfId="3797" headerRowBorderDxfId="3798" tableBorderDxfId="3796" headerRowCellStyle="40% - Accent6">
  <autoFilter ref="A106:D121"/>
  <tableColumns count="4">
    <tableColumn id="1" name="Expense" dataDxfId="3795"/>
    <tableColumn id="2" name="Description" dataDxfId="3794"/>
    <tableColumn id="4" name="Label Name" dataDxfId="3793"/>
    <tableColumn id="5" name="Amount" dataDxfId="3792" dataCellStyle="40% - Accent6"/>
  </tableColumns>
  <tableStyleInfo name="TableStyleLight18" showFirstColumn="0" showLastColumn="0" showRowStripes="1" showColumnStripes="0"/>
</table>
</file>

<file path=xl/tables/table328.xml><?xml version="1.0" encoding="utf-8"?>
<table xmlns="http://schemas.openxmlformats.org/spreadsheetml/2006/main" id="328" name="Demolition_41" displayName="Demolition_41" ref="A125:D140" totalsRowShown="0" headerRowDxfId="3791" dataDxfId="3789" headerRowBorderDxfId="3790" tableBorderDxfId="3788" headerRowCellStyle="40% - Accent6">
  <autoFilter ref="A125:D140"/>
  <tableColumns count="4">
    <tableColumn id="1" name="Expense" dataDxfId="3787"/>
    <tableColumn id="2" name="Description" dataDxfId="3786"/>
    <tableColumn id="4" name="Label Name" dataDxfId="3785"/>
    <tableColumn id="5" name="Amount" dataDxfId="3784" dataCellStyle="40% - Accent6"/>
  </tableColumns>
  <tableStyleInfo name="TableStyleLight18" showFirstColumn="0" showLastColumn="0" showRowStripes="1" showColumnStripes="0"/>
</table>
</file>

<file path=xl/tables/table329.xml><?xml version="1.0" encoding="utf-8"?>
<table xmlns="http://schemas.openxmlformats.org/spreadsheetml/2006/main" id="329" name="Rehab_41" displayName="Rehab_41" ref="A144:D159" totalsRowShown="0" headerRowDxfId="3783" dataDxfId="3781" headerRowBorderDxfId="3782" tableBorderDxfId="3780" headerRowCellStyle="40% - Accent6">
  <autoFilter ref="A144:D159"/>
  <tableColumns count="4">
    <tableColumn id="1" name="Expense" dataDxfId="3779"/>
    <tableColumn id="2" name="Description" dataDxfId="3778"/>
    <tableColumn id="4" name="Label Name" dataDxfId="3777"/>
    <tableColumn id="5" name="Amount" dataDxfId="3776" dataCellStyle="40% - Accent6"/>
  </tableColumns>
  <tableStyleInfo name="TableStyleLight18" showFirstColumn="0" showLastColumn="0" showRowStripes="1" showColumnStripes="0"/>
</table>
</file>

<file path=xl/tables/table33.xml><?xml version="1.0" encoding="utf-8"?>
<table xmlns="http://schemas.openxmlformats.org/spreadsheetml/2006/main" id="98" name="Rehab_4" displayName="Rehab_4" ref="A144:D159" totalsRowShown="0" headerRowDxfId="6151" dataDxfId="6149" headerRowBorderDxfId="6150" tableBorderDxfId="6148" headerRowCellStyle="40% - Accent6">
  <autoFilter ref="A144:D159"/>
  <tableColumns count="4">
    <tableColumn id="1" name="Expense" dataDxfId="6147"/>
    <tableColumn id="2" name="Description" dataDxfId="6146"/>
    <tableColumn id="4" name="Label Name" dataDxfId="6145"/>
    <tableColumn id="5" name="Amount" dataDxfId="6144" dataCellStyle="40% - Accent6"/>
  </tableColumns>
  <tableStyleInfo name="TableStyleLight18" showFirstColumn="0" showLastColumn="0" showRowStripes="1" showColumnStripes="0"/>
</table>
</file>

<file path=xl/tables/table330.xml><?xml version="1.0" encoding="utf-8"?>
<table xmlns="http://schemas.openxmlformats.org/spreadsheetml/2006/main" id="330" name="Grass_42" displayName="Grass_42" ref="A11:D26" totalsRowShown="0" headerRowDxfId="3775" dataDxfId="3773" headerRowBorderDxfId="3774" tableBorderDxfId="3772" headerRowCellStyle="40% - Accent6">
  <autoFilter ref="A11:D26"/>
  <tableColumns count="4">
    <tableColumn id="1" name="Expense" dataDxfId="3771"/>
    <tableColumn id="2" name="Description" dataDxfId="3770"/>
    <tableColumn id="4" name="Label Name" dataDxfId="3769"/>
    <tableColumn id="5" name="Amount" dataDxfId="3768" dataCellStyle="20% - Accent6"/>
  </tableColumns>
  <tableStyleInfo name="TableStyleLight18" showFirstColumn="0" showLastColumn="0" showRowStripes="1" showColumnStripes="0"/>
</table>
</file>

<file path=xl/tables/table331.xml><?xml version="1.0" encoding="utf-8"?>
<table xmlns="http://schemas.openxmlformats.org/spreadsheetml/2006/main" id="331" name="Tree_42" displayName="Tree_42" ref="A30:D45" totalsRowShown="0" headerRowDxfId="3767" dataDxfId="3765" headerRowBorderDxfId="3766" tableBorderDxfId="3764" headerRowCellStyle="40% - Accent6">
  <autoFilter ref="A30:D45"/>
  <tableColumns count="4">
    <tableColumn id="1" name="Expense" dataDxfId="3763"/>
    <tableColumn id="2" name="Description" dataDxfId="3762"/>
    <tableColumn id="4" name="Label Name" dataDxfId="3761"/>
    <tableColumn id="5" name="Amount" dataDxfId="3760" dataCellStyle="40% - Accent6"/>
  </tableColumns>
  <tableStyleInfo name="TableStyleLight18" showFirstColumn="0" showLastColumn="0" showRowStripes="1" showColumnStripes="0"/>
</table>
</file>

<file path=xl/tables/table332.xml><?xml version="1.0" encoding="utf-8"?>
<table xmlns="http://schemas.openxmlformats.org/spreadsheetml/2006/main" id="332" name="Pest_42" displayName="Pest_42" ref="A49:D64" totalsRowShown="0" headerRowDxfId="3759" dataDxfId="3757" headerRowBorderDxfId="3758" tableBorderDxfId="3756" headerRowCellStyle="40% - Accent6">
  <autoFilter ref="A49:D64"/>
  <tableColumns count="4">
    <tableColumn id="1" name="Expense" dataDxfId="3755"/>
    <tableColumn id="2" name="Description" dataDxfId="3754"/>
    <tableColumn id="4" name="Label Name" dataDxfId="3753"/>
    <tableColumn id="5" name="Amount" dataDxfId="3752" dataCellStyle="40% - Accent6"/>
  </tableColumns>
  <tableStyleInfo name="TableStyleLight18" showFirstColumn="0" showLastColumn="0" showRowStripes="1" showColumnStripes="0"/>
</table>
</file>

<file path=xl/tables/table333.xml><?xml version="1.0" encoding="utf-8"?>
<table xmlns="http://schemas.openxmlformats.org/spreadsheetml/2006/main" id="333" name="Garbage_42" displayName="Garbage_42" ref="A68:D83" totalsRowShown="0" headerRowDxfId="3751" dataDxfId="3749" headerRowBorderDxfId="3750" tableBorderDxfId="3748" headerRowCellStyle="40% - Accent6">
  <autoFilter ref="A68:D83"/>
  <tableColumns count="4">
    <tableColumn id="1" name="Expense" dataDxfId="3747"/>
    <tableColumn id="2" name="Description" dataDxfId="3746"/>
    <tableColumn id="4" name="Label Name" dataDxfId="3745"/>
    <tableColumn id="5" name="Amount" dataDxfId="3744" dataCellStyle="20% - Accent6"/>
  </tableColumns>
  <tableStyleInfo name="TableStyleLight18" showFirstColumn="0" showLastColumn="0" showRowStripes="1" showColumnStripes="0"/>
</table>
</file>

<file path=xl/tables/table334.xml><?xml version="1.0" encoding="utf-8"?>
<table xmlns="http://schemas.openxmlformats.org/spreadsheetml/2006/main" id="334" name="Boarding_42" displayName="Boarding_42" ref="A87:D102" totalsRowShown="0" headerRowDxfId="3743" dataDxfId="3741" headerRowBorderDxfId="3742" tableBorderDxfId="3740" headerRowCellStyle="40% - Accent6">
  <autoFilter ref="A87:D102"/>
  <tableColumns count="4">
    <tableColumn id="1" name="Expense" dataDxfId="3739"/>
    <tableColumn id="2" name="Description" dataDxfId="3738"/>
    <tableColumn id="4" name="Label Name" dataDxfId="3737"/>
    <tableColumn id="5" name="Amount" dataDxfId="3736" dataCellStyle="40% - Accent6"/>
  </tableColumns>
  <tableStyleInfo name="TableStyleLight18" showFirstColumn="0" showLastColumn="0" showRowStripes="1" showColumnStripes="0"/>
</table>
</file>

<file path=xl/tables/table335.xml><?xml version="1.0" encoding="utf-8"?>
<table xmlns="http://schemas.openxmlformats.org/spreadsheetml/2006/main" id="335" name="Fence_42" displayName="Fence_42" ref="A106:D121" totalsRowShown="0" headerRowDxfId="3735" dataDxfId="3733" headerRowBorderDxfId="3734" tableBorderDxfId="3732" headerRowCellStyle="40% - Accent6">
  <autoFilter ref="A106:D121"/>
  <tableColumns count="4">
    <tableColumn id="1" name="Expense" dataDxfId="3731"/>
    <tableColumn id="2" name="Description" dataDxfId="3730"/>
    <tableColumn id="4" name="Label Name" dataDxfId="3729"/>
    <tableColumn id="5" name="Amount" dataDxfId="3728" dataCellStyle="40% - Accent6"/>
  </tableColumns>
  <tableStyleInfo name="TableStyleLight18" showFirstColumn="0" showLastColumn="0" showRowStripes="1" showColumnStripes="0"/>
</table>
</file>

<file path=xl/tables/table336.xml><?xml version="1.0" encoding="utf-8"?>
<table xmlns="http://schemas.openxmlformats.org/spreadsheetml/2006/main" id="336" name="Demolition_42" displayName="Demolition_42" ref="A125:D140" totalsRowShown="0" headerRowDxfId="3727" dataDxfId="3725" headerRowBorderDxfId="3726" tableBorderDxfId="3724" headerRowCellStyle="40% - Accent6">
  <autoFilter ref="A125:D140"/>
  <tableColumns count="4">
    <tableColumn id="1" name="Expense" dataDxfId="3723"/>
    <tableColumn id="2" name="Description" dataDxfId="3722"/>
    <tableColumn id="4" name="Label Name" dataDxfId="3721"/>
    <tableColumn id="5" name="Amount" dataDxfId="3720" dataCellStyle="40% - Accent6"/>
  </tableColumns>
  <tableStyleInfo name="TableStyleLight18" showFirstColumn="0" showLastColumn="0" showRowStripes="1" showColumnStripes="0"/>
</table>
</file>

<file path=xl/tables/table337.xml><?xml version="1.0" encoding="utf-8"?>
<table xmlns="http://schemas.openxmlformats.org/spreadsheetml/2006/main" id="337" name="Rehab_42" displayName="Rehab_42" ref="A144:D159" totalsRowShown="0" headerRowDxfId="3719" dataDxfId="3717" headerRowBorderDxfId="3718" tableBorderDxfId="3716" headerRowCellStyle="40% - Accent6">
  <autoFilter ref="A144:D159"/>
  <tableColumns count="4">
    <tableColumn id="1" name="Expense" dataDxfId="3715"/>
    <tableColumn id="2" name="Description" dataDxfId="3714"/>
    <tableColumn id="4" name="Label Name" dataDxfId="3713"/>
    <tableColumn id="5" name="Amount" dataDxfId="3712" dataCellStyle="40% - Accent6"/>
  </tableColumns>
  <tableStyleInfo name="TableStyleLight18" showFirstColumn="0" showLastColumn="0" showRowStripes="1" showColumnStripes="0"/>
</table>
</file>

<file path=xl/tables/table338.xml><?xml version="1.0" encoding="utf-8"?>
<table xmlns="http://schemas.openxmlformats.org/spreadsheetml/2006/main" id="338" name="Grass_43" displayName="Grass_43" ref="A11:D26" totalsRowShown="0" headerRowDxfId="3711" dataDxfId="3709" headerRowBorderDxfId="3710" tableBorderDxfId="3708" headerRowCellStyle="40% - Accent6">
  <autoFilter ref="A11:D26"/>
  <tableColumns count="4">
    <tableColumn id="1" name="Expense" dataDxfId="3707"/>
    <tableColumn id="2" name="Description" dataDxfId="3706"/>
    <tableColumn id="4" name="Label Name" dataDxfId="3705"/>
    <tableColumn id="5" name="Amount" dataDxfId="3704" dataCellStyle="20% - Accent6"/>
  </tableColumns>
  <tableStyleInfo name="TableStyleLight18" showFirstColumn="0" showLastColumn="0" showRowStripes="1" showColumnStripes="0"/>
</table>
</file>

<file path=xl/tables/table339.xml><?xml version="1.0" encoding="utf-8"?>
<table xmlns="http://schemas.openxmlformats.org/spreadsheetml/2006/main" id="339" name="Tree_43" displayName="Tree_43" ref="A30:D45" totalsRowShown="0" headerRowDxfId="3703" dataDxfId="3701" headerRowBorderDxfId="3702" tableBorderDxfId="3700" headerRowCellStyle="40% - Accent6">
  <autoFilter ref="A30:D45"/>
  <tableColumns count="4">
    <tableColumn id="1" name="Expense" dataDxfId="3699"/>
    <tableColumn id="2" name="Description" dataDxfId="3698"/>
    <tableColumn id="4" name="Label Name" dataDxfId="3697"/>
    <tableColumn id="5" name="Amount" dataDxfId="3696" dataCellStyle="40% - Accent6"/>
  </tableColumns>
  <tableStyleInfo name="TableStyleLight18" showFirstColumn="0" showLastColumn="0" showRowStripes="1" showColumnStripes="0"/>
</table>
</file>

<file path=xl/tables/table34.xml><?xml version="1.0" encoding="utf-8"?>
<table xmlns="http://schemas.openxmlformats.org/spreadsheetml/2006/main" id="99" name="Grass_5" displayName="Grass_5" ref="A11:D26" totalsRowShown="0" headerRowDxfId="6143" dataDxfId="6141" headerRowBorderDxfId="6142" tableBorderDxfId="6140" headerRowCellStyle="40% - Accent6">
  <autoFilter ref="A11:D26"/>
  <tableColumns count="4">
    <tableColumn id="1" name="Expense" dataDxfId="6139"/>
    <tableColumn id="2" name="Description" dataDxfId="6138"/>
    <tableColumn id="4" name="Label Name" dataDxfId="6137"/>
    <tableColumn id="5" name="Amount" dataDxfId="6136" dataCellStyle="20% - Accent6"/>
  </tableColumns>
  <tableStyleInfo name="TableStyleLight18" showFirstColumn="0" showLastColumn="0" showRowStripes="1" showColumnStripes="0"/>
</table>
</file>

<file path=xl/tables/table340.xml><?xml version="1.0" encoding="utf-8"?>
<table xmlns="http://schemas.openxmlformats.org/spreadsheetml/2006/main" id="340" name="Pest_43" displayName="Pest_43" ref="A49:D64" totalsRowShown="0" headerRowDxfId="3695" dataDxfId="3693" headerRowBorderDxfId="3694" tableBorderDxfId="3692" headerRowCellStyle="40% - Accent6">
  <autoFilter ref="A49:D64"/>
  <tableColumns count="4">
    <tableColumn id="1" name="Expense" dataDxfId="3691"/>
    <tableColumn id="2" name="Description" dataDxfId="3690"/>
    <tableColumn id="4" name="Label Name" dataDxfId="3689"/>
    <tableColumn id="5" name="Amount" dataDxfId="3688" dataCellStyle="40% - Accent6"/>
  </tableColumns>
  <tableStyleInfo name="TableStyleLight18" showFirstColumn="0" showLastColumn="0" showRowStripes="1" showColumnStripes="0"/>
</table>
</file>

<file path=xl/tables/table341.xml><?xml version="1.0" encoding="utf-8"?>
<table xmlns="http://schemas.openxmlformats.org/spreadsheetml/2006/main" id="341" name="Garbage_43" displayName="Garbage_43" ref="A68:D83" totalsRowShown="0" headerRowDxfId="3687" dataDxfId="3685" headerRowBorderDxfId="3686" tableBorderDxfId="3684" headerRowCellStyle="40% - Accent6">
  <autoFilter ref="A68:D83"/>
  <tableColumns count="4">
    <tableColumn id="1" name="Expense" dataDxfId="3683"/>
    <tableColumn id="2" name="Description" dataDxfId="3682"/>
    <tableColumn id="4" name="Label Name" dataDxfId="3681"/>
    <tableColumn id="5" name="Amount" dataDxfId="3680" dataCellStyle="20% - Accent6"/>
  </tableColumns>
  <tableStyleInfo name="TableStyleLight18" showFirstColumn="0" showLastColumn="0" showRowStripes="1" showColumnStripes="0"/>
</table>
</file>

<file path=xl/tables/table342.xml><?xml version="1.0" encoding="utf-8"?>
<table xmlns="http://schemas.openxmlformats.org/spreadsheetml/2006/main" id="342" name="Boarding_43" displayName="Boarding_43" ref="A87:D102" totalsRowShown="0" headerRowDxfId="3679" dataDxfId="3677" headerRowBorderDxfId="3678" tableBorderDxfId="3676" headerRowCellStyle="40% - Accent6">
  <autoFilter ref="A87:D102"/>
  <tableColumns count="4">
    <tableColumn id="1" name="Expense" dataDxfId="3675"/>
    <tableColumn id="2" name="Description" dataDxfId="3674"/>
    <tableColumn id="4" name="Label Name" dataDxfId="3673"/>
    <tableColumn id="5" name="Amount" dataDxfId="3672" dataCellStyle="40% - Accent6"/>
  </tableColumns>
  <tableStyleInfo name="TableStyleLight18" showFirstColumn="0" showLastColumn="0" showRowStripes="1" showColumnStripes="0"/>
</table>
</file>

<file path=xl/tables/table343.xml><?xml version="1.0" encoding="utf-8"?>
<table xmlns="http://schemas.openxmlformats.org/spreadsheetml/2006/main" id="343" name="Fence_43" displayName="Fence_43" ref="A106:D121" totalsRowShown="0" headerRowDxfId="3671" dataDxfId="3669" headerRowBorderDxfId="3670" tableBorderDxfId="3668" headerRowCellStyle="40% - Accent6">
  <autoFilter ref="A106:D121"/>
  <tableColumns count="4">
    <tableColumn id="1" name="Expense" dataDxfId="3667"/>
    <tableColumn id="2" name="Description" dataDxfId="3666"/>
    <tableColumn id="4" name="Label Name" dataDxfId="3665"/>
    <tableColumn id="5" name="Amount" dataDxfId="3664" dataCellStyle="40% - Accent6"/>
  </tableColumns>
  <tableStyleInfo name="TableStyleLight18" showFirstColumn="0" showLastColumn="0" showRowStripes="1" showColumnStripes="0"/>
</table>
</file>

<file path=xl/tables/table344.xml><?xml version="1.0" encoding="utf-8"?>
<table xmlns="http://schemas.openxmlformats.org/spreadsheetml/2006/main" id="344" name="Demolition_43" displayName="Demolition_43" ref="A125:D140" totalsRowShown="0" headerRowDxfId="3663" dataDxfId="3661" headerRowBorderDxfId="3662" tableBorderDxfId="3660" headerRowCellStyle="40% - Accent6">
  <autoFilter ref="A125:D140"/>
  <tableColumns count="4">
    <tableColumn id="1" name="Expense" dataDxfId="3659"/>
    <tableColumn id="2" name="Description" dataDxfId="3658"/>
    <tableColumn id="4" name="Label Name" dataDxfId="3657"/>
    <tableColumn id="5" name="Amount" dataDxfId="3656" dataCellStyle="40% - Accent6"/>
  </tableColumns>
  <tableStyleInfo name="TableStyleLight18" showFirstColumn="0" showLastColumn="0" showRowStripes="1" showColumnStripes="0"/>
</table>
</file>

<file path=xl/tables/table345.xml><?xml version="1.0" encoding="utf-8"?>
<table xmlns="http://schemas.openxmlformats.org/spreadsheetml/2006/main" id="345" name="Rehab_43" displayName="Rehab_43" ref="A144:D159" totalsRowShown="0" headerRowDxfId="3655" dataDxfId="3653" headerRowBorderDxfId="3654" tableBorderDxfId="3652" headerRowCellStyle="40% - Accent6">
  <autoFilter ref="A144:D159"/>
  <tableColumns count="4">
    <tableColumn id="1" name="Expense" dataDxfId="3651"/>
    <tableColumn id="2" name="Description" dataDxfId="3650"/>
    <tableColumn id="4" name="Label Name" dataDxfId="3649"/>
    <tableColumn id="5" name="Amount" dataDxfId="3648" dataCellStyle="40% - Accent6"/>
  </tableColumns>
  <tableStyleInfo name="TableStyleLight18" showFirstColumn="0" showLastColumn="0" showRowStripes="1" showColumnStripes="0"/>
</table>
</file>

<file path=xl/tables/table346.xml><?xml version="1.0" encoding="utf-8"?>
<table xmlns="http://schemas.openxmlformats.org/spreadsheetml/2006/main" id="346" name="Grass_44" displayName="Grass_44" ref="A11:D26" totalsRowShown="0" headerRowDxfId="3647" dataDxfId="3645" headerRowBorderDxfId="3646" tableBorderDxfId="3644" headerRowCellStyle="40% - Accent6">
  <autoFilter ref="A11:D26"/>
  <tableColumns count="4">
    <tableColumn id="1" name="Expense" dataDxfId="3643"/>
    <tableColumn id="2" name="Description" dataDxfId="3642"/>
    <tableColumn id="4" name="Label Name" dataDxfId="3641"/>
    <tableColumn id="5" name="Amount" dataDxfId="3640" dataCellStyle="20% - Accent6"/>
  </tableColumns>
  <tableStyleInfo name="TableStyleLight18" showFirstColumn="0" showLastColumn="0" showRowStripes="1" showColumnStripes="0"/>
</table>
</file>

<file path=xl/tables/table347.xml><?xml version="1.0" encoding="utf-8"?>
<table xmlns="http://schemas.openxmlformats.org/spreadsheetml/2006/main" id="347" name="Tree_44" displayName="Tree_44" ref="A30:D45" totalsRowShown="0" headerRowDxfId="3639" dataDxfId="3637" headerRowBorderDxfId="3638" tableBorderDxfId="3636" headerRowCellStyle="40% - Accent6">
  <autoFilter ref="A30:D45"/>
  <tableColumns count="4">
    <tableColumn id="1" name="Expense" dataDxfId="3635"/>
    <tableColumn id="2" name="Description" dataDxfId="3634"/>
    <tableColumn id="4" name="Label Name" dataDxfId="3633"/>
    <tableColumn id="5" name="Amount" dataDxfId="3632" dataCellStyle="40% - Accent6"/>
  </tableColumns>
  <tableStyleInfo name="TableStyleLight18" showFirstColumn="0" showLastColumn="0" showRowStripes="1" showColumnStripes="0"/>
</table>
</file>

<file path=xl/tables/table348.xml><?xml version="1.0" encoding="utf-8"?>
<table xmlns="http://schemas.openxmlformats.org/spreadsheetml/2006/main" id="348" name="Pest_44" displayName="Pest_44" ref="A49:D64" totalsRowShown="0" headerRowDxfId="3631" dataDxfId="3629" headerRowBorderDxfId="3630" tableBorderDxfId="3628" headerRowCellStyle="40% - Accent6">
  <autoFilter ref="A49:D64"/>
  <tableColumns count="4">
    <tableColumn id="1" name="Expense" dataDxfId="3627"/>
    <tableColumn id="2" name="Description" dataDxfId="3626"/>
    <tableColumn id="4" name="Label Name" dataDxfId="3625"/>
    <tableColumn id="5" name="Amount" dataDxfId="3624" dataCellStyle="40% - Accent6"/>
  </tableColumns>
  <tableStyleInfo name="TableStyleLight18" showFirstColumn="0" showLastColumn="0" showRowStripes="1" showColumnStripes="0"/>
</table>
</file>

<file path=xl/tables/table349.xml><?xml version="1.0" encoding="utf-8"?>
<table xmlns="http://schemas.openxmlformats.org/spreadsheetml/2006/main" id="349" name="Garbage_44" displayName="Garbage_44" ref="A68:D83" totalsRowShown="0" headerRowDxfId="3623" dataDxfId="3621" headerRowBorderDxfId="3622" tableBorderDxfId="3620" headerRowCellStyle="40% - Accent6">
  <autoFilter ref="A68:D83"/>
  <tableColumns count="4">
    <tableColumn id="1" name="Expense" dataDxfId="3619"/>
    <tableColumn id="2" name="Description" dataDxfId="3618"/>
    <tableColumn id="4" name="Label Name" dataDxfId="3617"/>
    <tableColumn id="5" name="Amount" dataDxfId="3616" dataCellStyle="20% - Accent6"/>
  </tableColumns>
  <tableStyleInfo name="TableStyleLight18" showFirstColumn="0" showLastColumn="0" showRowStripes="1" showColumnStripes="0"/>
</table>
</file>

<file path=xl/tables/table35.xml><?xml version="1.0" encoding="utf-8"?>
<table xmlns="http://schemas.openxmlformats.org/spreadsheetml/2006/main" id="100" name="Tree_5" displayName="Tree_5" ref="A30:D45" totalsRowShown="0" headerRowDxfId="6135" dataDxfId="6133" headerRowBorderDxfId="6134" tableBorderDxfId="6132" headerRowCellStyle="40% - Accent6">
  <autoFilter ref="A30:D45"/>
  <tableColumns count="4">
    <tableColumn id="1" name="Expense" dataDxfId="6131"/>
    <tableColumn id="2" name="Description" dataDxfId="6130"/>
    <tableColumn id="4" name="Label Name" dataDxfId="6129"/>
    <tableColumn id="5" name="Amount" dataDxfId="6128" dataCellStyle="40% - Accent6"/>
  </tableColumns>
  <tableStyleInfo name="TableStyleLight18" showFirstColumn="0" showLastColumn="0" showRowStripes="1" showColumnStripes="0"/>
</table>
</file>

<file path=xl/tables/table350.xml><?xml version="1.0" encoding="utf-8"?>
<table xmlns="http://schemas.openxmlformats.org/spreadsheetml/2006/main" id="350" name="Boarding_44" displayName="Boarding_44" ref="A87:D102" totalsRowShown="0" headerRowDxfId="3615" dataDxfId="3613" headerRowBorderDxfId="3614" tableBorderDxfId="3612" headerRowCellStyle="40% - Accent6">
  <autoFilter ref="A87:D102"/>
  <tableColumns count="4">
    <tableColumn id="1" name="Expense" dataDxfId="3611"/>
    <tableColumn id="2" name="Description" dataDxfId="3610"/>
    <tableColumn id="4" name="Label Name" dataDxfId="3609"/>
    <tableColumn id="5" name="Amount" dataDxfId="3608" dataCellStyle="40% - Accent6"/>
  </tableColumns>
  <tableStyleInfo name="TableStyleLight18" showFirstColumn="0" showLastColumn="0" showRowStripes="1" showColumnStripes="0"/>
</table>
</file>

<file path=xl/tables/table351.xml><?xml version="1.0" encoding="utf-8"?>
<table xmlns="http://schemas.openxmlformats.org/spreadsheetml/2006/main" id="351" name="Fence_44" displayName="Fence_44" ref="A106:D121" totalsRowShown="0" headerRowDxfId="3607" dataDxfId="3605" headerRowBorderDxfId="3606" tableBorderDxfId="3604" headerRowCellStyle="40% - Accent6">
  <autoFilter ref="A106:D121"/>
  <tableColumns count="4">
    <tableColumn id="1" name="Expense" dataDxfId="3603"/>
    <tableColumn id="2" name="Description" dataDxfId="3602"/>
    <tableColumn id="4" name="Label Name" dataDxfId="3601"/>
    <tableColumn id="5" name="Amount" dataDxfId="3600" dataCellStyle="40% - Accent6"/>
  </tableColumns>
  <tableStyleInfo name="TableStyleLight18" showFirstColumn="0" showLastColumn="0" showRowStripes="1" showColumnStripes="0"/>
</table>
</file>

<file path=xl/tables/table352.xml><?xml version="1.0" encoding="utf-8"?>
<table xmlns="http://schemas.openxmlformats.org/spreadsheetml/2006/main" id="352" name="Demolition_44" displayName="Demolition_44" ref="A125:D140" totalsRowShown="0" headerRowDxfId="3599" dataDxfId="3597" headerRowBorderDxfId="3598" tableBorderDxfId="3596" headerRowCellStyle="40% - Accent6">
  <autoFilter ref="A125:D140"/>
  <tableColumns count="4">
    <tableColumn id="1" name="Expense" dataDxfId="3595"/>
    <tableColumn id="2" name="Description" dataDxfId="3594"/>
    <tableColumn id="4" name="Label Name" dataDxfId="3593"/>
    <tableColumn id="5" name="Amount" dataDxfId="3592" dataCellStyle="40% - Accent6"/>
  </tableColumns>
  <tableStyleInfo name="TableStyleLight18" showFirstColumn="0" showLastColumn="0" showRowStripes="1" showColumnStripes="0"/>
</table>
</file>

<file path=xl/tables/table353.xml><?xml version="1.0" encoding="utf-8"?>
<table xmlns="http://schemas.openxmlformats.org/spreadsheetml/2006/main" id="353" name="Rehab_44" displayName="Rehab_44" ref="A144:D159" totalsRowShown="0" headerRowDxfId="3591" dataDxfId="3589" headerRowBorderDxfId="3590" tableBorderDxfId="3588" headerRowCellStyle="40% - Accent6">
  <autoFilter ref="A144:D159"/>
  <tableColumns count="4">
    <tableColumn id="1" name="Expense" dataDxfId="3587"/>
    <tableColumn id="2" name="Description" dataDxfId="3586"/>
    <tableColumn id="4" name="Label Name" dataDxfId="3585"/>
    <tableColumn id="5" name="Amount" dataDxfId="3584" dataCellStyle="40% - Accent6"/>
  </tableColumns>
  <tableStyleInfo name="TableStyleLight18" showFirstColumn="0" showLastColumn="0" showRowStripes="1" showColumnStripes="0"/>
</table>
</file>

<file path=xl/tables/table354.xml><?xml version="1.0" encoding="utf-8"?>
<table xmlns="http://schemas.openxmlformats.org/spreadsheetml/2006/main" id="354" name="Grass_45" displayName="Grass_45" ref="A11:D26" totalsRowShown="0" headerRowDxfId="3583" dataDxfId="3581" headerRowBorderDxfId="3582" tableBorderDxfId="3580" headerRowCellStyle="40% - Accent6">
  <autoFilter ref="A11:D26"/>
  <tableColumns count="4">
    <tableColumn id="1" name="Expense" dataDxfId="3579"/>
    <tableColumn id="2" name="Description" dataDxfId="3578"/>
    <tableColumn id="4" name="Label Name" dataDxfId="3577"/>
    <tableColumn id="5" name="Amount" dataDxfId="3576" dataCellStyle="20% - Accent6"/>
  </tableColumns>
  <tableStyleInfo name="TableStyleLight18" showFirstColumn="0" showLastColumn="0" showRowStripes="1" showColumnStripes="0"/>
</table>
</file>

<file path=xl/tables/table355.xml><?xml version="1.0" encoding="utf-8"?>
<table xmlns="http://schemas.openxmlformats.org/spreadsheetml/2006/main" id="355" name="Tree_45" displayName="Tree_45" ref="A30:D45" totalsRowShown="0" headerRowDxfId="3575" dataDxfId="3573" headerRowBorderDxfId="3574" tableBorderDxfId="3572" headerRowCellStyle="40% - Accent6">
  <autoFilter ref="A30:D45"/>
  <tableColumns count="4">
    <tableColumn id="1" name="Expense" dataDxfId="3571"/>
    <tableColumn id="2" name="Description" dataDxfId="3570"/>
    <tableColumn id="4" name="Label Name" dataDxfId="3569"/>
    <tableColumn id="5" name="Amount" dataDxfId="3568" dataCellStyle="40% - Accent6"/>
  </tableColumns>
  <tableStyleInfo name="TableStyleLight18" showFirstColumn="0" showLastColumn="0" showRowStripes="1" showColumnStripes="0"/>
</table>
</file>

<file path=xl/tables/table356.xml><?xml version="1.0" encoding="utf-8"?>
<table xmlns="http://schemas.openxmlformats.org/spreadsheetml/2006/main" id="356" name="Pest_45" displayName="Pest_45" ref="A49:D64" totalsRowShown="0" headerRowDxfId="3567" dataDxfId="3565" headerRowBorderDxfId="3566" tableBorderDxfId="3564" headerRowCellStyle="40% - Accent6">
  <autoFilter ref="A49:D64"/>
  <tableColumns count="4">
    <tableColumn id="1" name="Expense" dataDxfId="3563"/>
    <tableColumn id="2" name="Description" dataDxfId="3562"/>
    <tableColumn id="4" name="Label Name" dataDxfId="3561"/>
    <tableColumn id="5" name="Amount" dataDxfId="3560" dataCellStyle="40% - Accent6"/>
  </tableColumns>
  <tableStyleInfo name="TableStyleLight18" showFirstColumn="0" showLastColumn="0" showRowStripes="1" showColumnStripes="0"/>
</table>
</file>

<file path=xl/tables/table357.xml><?xml version="1.0" encoding="utf-8"?>
<table xmlns="http://schemas.openxmlformats.org/spreadsheetml/2006/main" id="357" name="Garbage_45" displayName="Garbage_45" ref="A68:D83" totalsRowShown="0" headerRowDxfId="3559" dataDxfId="3557" headerRowBorderDxfId="3558" tableBorderDxfId="3556" headerRowCellStyle="40% - Accent6">
  <autoFilter ref="A68:D83"/>
  <tableColumns count="4">
    <tableColumn id="1" name="Expense" dataDxfId="3555"/>
    <tableColumn id="2" name="Description" dataDxfId="3554"/>
    <tableColumn id="4" name="Label Name" dataDxfId="3553"/>
    <tableColumn id="5" name="Amount" dataDxfId="3552" dataCellStyle="20% - Accent6"/>
  </tableColumns>
  <tableStyleInfo name="TableStyleLight18" showFirstColumn="0" showLastColumn="0" showRowStripes="1" showColumnStripes="0"/>
</table>
</file>

<file path=xl/tables/table358.xml><?xml version="1.0" encoding="utf-8"?>
<table xmlns="http://schemas.openxmlformats.org/spreadsheetml/2006/main" id="358" name="Boarding_45" displayName="Boarding_45" ref="A87:D102" totalsRowShown="0" headerRowDxfId="3551" dataDxfId="3549" headerRowBorderDxfId="3550" tableBorderDxfId="3548" headerRowCellStyle="40% - Accent6">
  <autoFilter ref="A87:D102"/>
  <tableColumns count="4">
    <tableColumn id="1" name="Expense" dataDxfId="3547"/>
    <tableColumn id="2" name="Description" dataDxfId="3546"/>
    <tableColumn id="4" name="Label Name" dataDxfId="3545"/>
    <tableColumn id="5" name="Amount" dataDxfId="3544" dataCellStyle="40% - Accent6"/>
  </tableColumns>
  <tableStyleInfo name="TableStyleLight18" showFirstColumn="0" showLastColumn="0" showRowStripes="1" showColumnStripes="0"/>
</table>
</file>

<file path=xl/tables/table359.xml><?xml version="1.0" encoding="utf-8"?>
<table xmlns="http://schemas.openxmlformats.org/spreadsheetml/2006/main" id="359" name="Fence_45" displayName="Fence_45" ref="A106:D121" totalsRowShown="0" headerRowDxfId="3543" dataDxfId="3541" headerRowBorderDxfId="3542" tableBorderDxfId="3540" headerRowCellStyle="40% - Accent6">
  <autoFilter ref="A106:D121"/>
  <tableColumns count="4">
    <tableColumn id="1" name="Expense" dataDxfId="3539"/>
    <tableColumn id="2" name="Description" dataDxfId="3538"/>
    <tableColumn id="4" name="Label Name" dataDxfId="3537"/>
    <tableColumn id="5" name="Amount" dataDxfId="3536" dataCellStyle="40% - Accent6"/>
  </tableColumns>
  <tableStyleInfo name="TableStyleLight18" showFirstColumn="0" showLastColumn="0" showRowStripes="1" showColumnStripes="0"/>
</table>
</file>

<file path=xl/tables/table36.xml><?xml version="1.0" encoding="utf-8"?>
<table xmlns="http://schemas.openxmlformats.org/spreadsheetml/2006/main" id="101" name="Pest_5" displayName="Pest_5" ref="A49:D64" totalsRowShown="0" headerRowDxfId="6127" dataDxfId="6125" headerRowBorderDxfId="6126" tableBorderDxfId="6124" headerRowCellStyle="40% - Accent6">
  <autoFilter ref="A49:D64"/>
  <tableColumns count="4">
    <tableColumn id="1" name="Expense" dataDxfId="6123"/>
    <tableColumn id="2" name="Description" dataDxfId="6122"/>
    <tableColumn id="4" name="Label Name" dataDxfId="6121"/>
    <tableColumn id="5" name="Amount" dataDxfId="6120" dataCellStyle="40% - Accent6"/>
  </tableColumns>
  <tableStyleInfo name="TableStyleLight18" showFirstColumn="0" showLastColumn="0" showRowStripes="1" showColumnStripes="0"/>
</table>
</file>

<file path=xl/tables/table360.xml><?xml version="1.0" encoding="utf-8"?>
<table xmlns="http://schemas.openxmlformats.org/spreadsheetml/2006/main" id="360" name="Demolition_45" displayName="Demolition_45" ref="A125:D140" totalsRowShown="0" headerRowDxfId="3535" dataDxfId="3533" headerRowBorderDxfId="3534" tableBorderDxfId="3532" headerRowCellStyle="40% - Accent6">
  <autoFilter ref="A125:D140"/>
  <tableColumns count="4">
    <tableColumn id="1" name="Expense" dataDxfId="3531"/>
    <tableColumn id="2" name="Description" dataDxfId="3530"/>
    <tableColumn id="4" name="Label Name" dataDxfId="3529"/>
    <tableColumn id="5" name="Amount" dataDxfId="3528" dataCellStyle="40% - Accent6"/>
  </tableColumns>
  <tableStyleInfo name="TableStyleLight18" showFirstColumn="0" showLastColumn="0" showRowStripes="1" showColumnStripes="0"/>
</table>
</file>

<file path=xl/tables/table361.xml><?xml version="1.0" encoding="utf-8"?>
<table xmlns="http://schemas.openxmlformats.org/spreadsheetml/2006/main" id="361" name="Rehab_45" displayName="Rehab_45" ref="A144:D159" totalsRowShown="0" headerRowDxfId="3527" dataDxfId="3525" headerRowBorderDxfId="3526" tableBorderDxfId="3524" headerRowCellStyle="40% - Accent6">
  <autoFilter ref="A144:D159"/>
  <tableColumns count="4">
    <tableColumn id="1" name="Expense" dataDxfId="3523"/>
    <tableColumn id="2" name="Description" dataDxfId="3522"/>
    <tableColumn id="4" name="Label Name" dataDxfId="3521"/>
    <tableColumn id="5" name="Amount" dataDxfId="3520" dataCellStyle="40% - Accent6"/>
  </tableColumns>
  <tableStyleInfo name="TableStyleLight18" showFirstColumn="0" showLastColumn="0" showRowStripes="1" showColumnStripes="0"/>
</table>
</file>

<file path=xl/tables/table362.xml><?xml version="1.0" encoding="utf-8"?>
<table xmlns="http://schemas.openxmlformats.org/spreadsheetml/2006/main" id="362" name="Grass_46" displayName="Grass_46" ref="A11:D26" totalsRowShown="0" headerRowDxfId="3519" dataDxfId="3517" headerRowBorderDxfId="3518" tableBorderDxfId="3516" headerRowCellStyle="40% - Accent6">
  <autoFilter ref="A11:D26"/>
  <tableColumns count="4">
    <tableColumn id="1" name="Expense" dataDxfId="3515"/>
    <tableColumn id="2" name="Description" dataDxfId="3514"/>
    <tableColumn id="4" name="Label Name" dataDxfId="3513"/>
    <tableColumn id="5" name="Amount" dataDxfId="3512" dataCellStyle="20% - Accent6"/>
  </tableColumns>
  <tableStyleInfo name="TableStyleLight18" showFirstColumn="0" showLastColumn="0" showRowStripes="1" showColumnStripes="0"/>
</table>
</file>

<file path=xl/tables/table363.xml><?xml version="1.0" encoding="utf-8"?>
<table xmlns="http://schemas.openxmlformats.org/spreadsheetml/2006/main" id="363" name="Tree_46" displayName="Tree_46" ref="A30:D45" totalsRowShown="0" headerRowDxfId="3511" dataDxfId="3509" headerRowBorderDxfId="3510" tableBorderDxfId="3508" headerRowCellStyle="40% - Accent6">
  <autoFilter ref="A30:D45"/>
  <tableColumns count="4">
    <tableColumn id="1" name="Expense" dataDxfId="3507"/>
    <tableColumn id="2" name="Description" dataDxfId="3506"/>
    <tableColumn id="4" name="Label Name" dataDxfId="3505"/>
    <tableColumn id="5" name="Amount" dataDxfId="3504" dataCellStyle="40% - Accent6"/>
  </tableColumns>
  <tableStyleInfo name="TableStyleLight18" showFirstColumn="0" showLastColumn="0" showRowStripes="1" showColumnStripes="0"/>
</table>
</file>

<file path=xl/tables/table364.xml><?xml version="1.0" encoding="utf-8"?>
<table xmlns="http://schemas.openxmlformats.org/spreadsheetml/2006/main" id="364" name="Pest_46" displayName="Pest_46" ref="A49:D64" totalsRowShown="0" headerRowDxfId="3503" dataDxfId="3501" headerRowBorderDxfId="3502" tableBorderDxfId="3500" headerRowCellStyle="40% - Accent6">
  <autoFilter ref="A49:D64"/>
  <tableColumns count="4">
    <tableColumn id="1" name="Expense" dataDxfId="3499"/>
    <tableColumn id="2" name="Description" dataDxfId="3498"/>
    <tableColumn id="4" name="Label Name" dataDxfId="3497"/>
    <tableColumn id="5" name="Amount" dataDxfId="3496" dataCellStyle="40% - Accent6"/>
  </tableColumns>
  <tableStyleInfo name="TableStyleLight18" showFirstColumn="0" showLastColumn="0" showRowStripes="1" showColumnStripes="0"/>
</table>
</file>

<file path=xl/tables/table365.xml><?xml version="1.0" encoding="utf-8"?>
<table xmlns="http://schemas.openxmlformats.org/spreadsheetml/2006/main" id="365" name="Garbage_46" displayName="Garbage_46" ref="A68:D83" totalsRowShown="0" headerRowDxfId="3495" dataDxfId="3493" headerRowBorderDxfId="3494" tableBorderDxfId="3492" headerRowCellStyle="40% - Accent6">
  <autoFilter ref="A68:D83"/>
  <tableColumns count="4">
    <tableColumn id="1" name="Expense" dataDxfId="3491"/>
    <tableColumn id="2" name="Description" dataDxfId="3490"/>
    <tableColumn id="4" name="Label Name" dataDxfId="3489"/>
    <tableColumn id="5" name="Amount" dataDxfId="3488" dataCellStyle="20% - Accent6"/>
  </tableColumns>
  <tableStyleInfo name="TableStyleLight18" showFirstColumn="0" showLastColumn="0" showRowStripes="1" showColumnStripes="0"/>
</table>
</file>

<file path=xl/tables/table366.xml><?xml version="1.0" encoding="utf-8"?>
<table xmlns="http://schemas.openxmlformats.org/spreadsheetml/2006/main" id="366" name="Boarding_46" displayName="Boarding_46" ref="A87:D102" totalsRowShown="0" headerRowDxfId="3487" dataDxfId="3485" headerRowBorderDxfId="3486" tableBorderDxfId="3484" headerRowCellStyle="40% - Accent6">
  <autoFilter ref="A87:D102"/>
  <tableColumns count="4">
    <tableColumn id="1" name="Expense" dataDxfId="3483"/>
    <tableColumn id="2" name="Description" dataDxfId="3482"/>
    <tableColumn id="4" name="Label Name" dataDxfId="3481"/>
    <tableColumn id="5" name="Amount" dataDxfId="3480" dataCellStyle="40% - Accent6"/>
  </tableColumns>
  <tableStyleInfo name="TableStyleLight18" showFirstColumn="0" showLastColumn="0" showRowStripes="1" showColumnStripes="0"/>
</table>
</file>

<file path=xl/tables/table367.xml><?xml version="1.0" encoding="utf-8"?>
<table xmlns="http://schemas.openxmlformats.org/spreadsheetml/2006/main" id="367" name="Fence_46" displayName="Fence_46" ref="A106:D121" totalsRowShown="0" headerRowDxfId="3479" dataDxfId="3477" headerRowBorderDxfId="3478" tableBorderDxfId="3476" headerRowCellStyle="40% - Accent6">
  <autoFilter ref="A106:D121"/>
  <tableColumns count="4">
    <tableColumn id="1" name="Expense" dataDxfId="3475"/>
    <tableColumn id="2" name="Description" dataDxfId="3474"/>
    <tableColumn id="4" name="Label Name" dataDxfId="3473"/>
    <tableColumn id="5" name="Amount" dataDxfId="3472" dataCellStyle="40% - Accent6"/>
  </tableColumns>
  <tableStyleInfo name="TableStyleLight18" showFirstColumn="0" showLastColumn="0" showRowStripes="1" showColumnStripes="0"/>
</table>
</file>

<file path=xl/tables/table368.xml><?xml version="1.0" encoding="utf-8"?>
<table xmlns="http://schemas.openxmlformats.org/spreadsheetml/2006/main" id="368" name="Demolition_46" displayName="Demolition_46" ref="A125:D140" totalsRowShown="0" headerRowDxfId="3471" dataDxfId="3469" headerRowBorderDxfId="3470" tableBorderDxfId="3468" headerRowCellStyle="40% - Accent6">
  <autoFilter ref="A125:D140"/>
  <tableColumns count="4">
    <tableColumn id="1" name="Expense" dataDxfId="3467"/>
    <tableColumn id="2" name="Description" dataDxfId="3466"/>
    <tableColumn id="4" name="Label Name" dataDxfId="3465"/>
    <tableColumn id="5" name="Amount" dataDxfId="3464" dataCellStyle="40% - Accent6"/>
  </tableColumns>
  <tableStyleInfo name="TableStyleLight18" showFirstColumn="0" showLastColumn="0" showRowStripes="1" showColumnStripes="0"/>
</table>
</file>

<file path=xl/tables/table369.xml><?xml version="1.0" encoding="utf-8"?>
<table xmlns="http://schemas.openxmlformats.org/spreadsheetml/2006/main" id="369" name="Rehab_46" displayName="Rehab_46" ref="A144:D159" totalsRowShown="0" headerRowDxfId="3463" dataDxfId="3461" headerRowBorderDxfId="3462" tableBorderDxfId="3460" headerRowCellStyle="40% - Accent6">
  <autoFilter ref="A144:D159"/>
  <tableColumns count="4">
    <tableColumn id="1" name="Expense" dataDxfId="3459"/>
    <tableColumn id="2" name="Description" dataDxfId="3458"/>
    <tableColumn id="4" name="Label Name" dataDxfId="3457"/>
    <tableColumn id="5" name="Amount" dataDxfId="3456" dataCellStyle="40% - Accent6"/>
  </tableColumns>
  <tableStyleInfo name="TableStyleLight18" showFirstColumn="0" showLastColumn="0" showRowStripes="1" showColumnStripes="0"/>
</table>
</file>

<file path=xl/tables/table37.xml><?xml version="1.0" encoding="utf-8"?>
<table xmlns="http://schemas.openxmlformats.org/spreadsheetml/2006/main" id="102" name="Garbage_5" displayName="Garbage_5" ref="A68:D83" totalsRowShown="0" headerRowDxfId="6119" dataDxfId="6117" headerRowBorderDxfId="6118" tableBorderDxfId="6116" headerRowCellStyle="40% - Accent6">
  <autoFilter ref="A68:D83"/>
  <tableColumns count="4">
    <tableColumn id="1" name="Expense" dataDxfId="6115"/>
    <tableColumn id="2" name="Description" dataDxfId="6114"/>
    <tableColumn id="4" name="Label Name" dataDxfId="6113"/>
    <tableColumn id="5" name="Amount" dataDxfId="6112" dataCellStyle="20% - Accent6"/>
  </tableColumns>
  <tableStyleInfo name="TableStyleLight18" showFirstColumn="0" showLastColumn="0" showRowStripes="1" showColumnStripes="0"/>
</table>
</file>

<file path=xl/tables/table370.xml><?xml version="1.0" encoding="utf-8"?>
<table xmlns="http://schemas.openxmlformats.org/spreadsheetml/2006/main" id="370" name="Grass_47" displayName="Grass_47" ref="A11:D26" totalsRowShown="0" headerRowDxfId="3455" dataDxfId="3453" headerRowBorderDxfId="3454" tableBorderDxfId="3452" headerRowCellStyle="40% - Accent6">
  <autoFilter ref="A11:D26"/>
  <tableColumns count="4">
    <tableColumn id="1" name="Expense" dataDxfId="3451"/>
    <tableColumn id="2" name="Description" dataDxfId="3450"/>
    <tableColumn id="4" name="Label Name" dataDxfId="3449"/>
    <tableColumn id="5" name="Amount" dataDxfId="3448" dataCellStyle="20% - Accent6"/>
  </tableColumns>
  <tableStyleInfo name="TableStyleLight18" showFirstColumn="0" showLastColumn="0" showRowStripes="1" showColumnStripes="0"/>
</table>
</file>

<file path=xl/tables/table371.xml><?xml version="1.0" encoding="utf-8"?>
<table xmlns="http://schemas.openxmlformats.org/spreadsheetml/2006/main" id="371" name="Tree_47" displayName="Tree_47" ref="A30:D45" totalsRowShown="0" headerRowDxfId="3447" dataDxfId="3445" headerRowBorderDxfId="3446" tableBorderDxfId="3444" headerRowCellStyle="40% - Accent6">
  <autoFilter ref="A30:D45"/>
  <tableColumns count="4">
    <tableColumn id="1" name="Expense" dataDxfId="3443"/>
    <tableColumn id="2" name="Description" dataDxfId="3442"/>
    <tableColumn id="4" name="Label Name" dataDxfId="3441"/>
    <tableColumn id="5" name="Amount" dataDxfId="3440" dataCellStyle="40% - Accent6"/>
  </tableColumns>
  <tableStyleInfo name="TableStyleLight18" showFirstColumn="0" showLastColumn="0" showRowStripes="1" showColumnStripes="0"/>
</table>
</file>

<file path=xl/tables/table372.xml><?xml version="1.0" encoding="utf-8"?>
<table xmlns="http://schemas.openxmlformats.org/spreadsheetml/2006/main" id="372" name="Pest_47" displayName="Pest_47" ref="A49:D64" totalsRowShown="0" headerRowDxfId="3439" dataDxfId="3437" headerRowBorderDxfId="3438" tableBorderDxfId="3436" headerRowCellStyle="40% - Accent6">
  <autoFilter ref="A49:D64"/>
  <tableColumns count="4">
    <tableColumn id="1" name="Expense" dataDxfId="3435"/>
    <tableColumn id="2" name="Description" dataDxfId="3434"/>
    <tableColumn id="4" name="Label Name" dataDxfId="3433"/>
    <tableColumn id="5" name="Amount" dataDxfId="3432" dataCellStyle="40% - Accent6"/>
  </tableColumns>
  <tableStyleInfo name="TableStyleLight18" showFirstColumn="0" showLastColumn="0" showRowStripes="1" showColumnStripes="0"/>
</table>
</file>

<file path=xl/tables/table373.xml><?xml version="1.0" encoding="utf-8"?>
<table xmlns="http://schemas.openxmlformats.org/spreadsheetml/2006/main" id="373" name="Garbage_47" displayName="Garbage_47" ref="A68:D83" totalsRowShown="0" headerRowDxfId="3431" dataDxfId="3429" headerRowBorderDxfId="3430" tableBorderDxfId="3428" headerRowCellStyle="40% - Accent6">
  <autoFilter ref="A68:D83"/>
  <tableColumns count="4">
    <tableColumn id="1" name="Expense" dataDxfId="3427"/>
    <tableColumn id="2" name="Description" dataDxfId="3426"/>
    <tableColumn id="4" name="Label Name" dataDxfId="3425"/>
    <tableColumn id="5" name="Amount" dataDxfId="3424" dataCellStyle="20% - Accent6"/>
  </tableColumns>
  <tableStyleInfo name="TableStyleLight18" showFirstColumn="0" showLastColumn="0" showRowStripes="1" showColumnStripes="0"/>
</table>
</file>

<file path=xl/tables/table374.xml><?xml version="1.0" encoding="utf-8"?>
<table xmlns="http://schemas.openxmlformats.org/spreadsheetml/2006/main" id="374" name="Boarding_47" displayName="Boarding_47" ref="A87:D102" totalsRowShown="0" headerRowDxfId="3423" dataDxfId="3421" headerRowBorderDxfId="3422" tableBorderDxfId="3420" headerRowCellStyle="40% - Accent6">
  <autoFilter ref="A87:D102"/>
  <tableColumns count="4">
    <tableColumn id="1" name="Expense" dataDxfId="3419"/>
    <tableColumn id="2" name="Description" dataDxfId="3418"/>
    <tableColumn id="4" name="Label Name" dataDxfId="3417"/>
    <tableColumn id="5" name="Amount" dataDxfId="3416" dataCellStyle="40% - Accent6"/>
  </tableColumns>
  <tableStyleInfo name="TableStyleLight18" showFirstColumn="0" showLastColumn="0" showRowStripes="1" showColumnStripes="0"/>
</table>
</file>

<file path=xl/tables/table375.xml><?xml version="1.0" encoding="utf-8"?>
<table xmlns="http://schemas.openxmlformats.org/spreadsheetml/2006/main" id="375" name="Fence_47" displayName="Fence_47" ref="A106:D121" totalsRowShown="0" headerRowDxfId="3415" dataDxfId="3413" headerRowBorderDxfId="3414" tableBorderDxfId="3412" headerRowCellStyle="40% - Accent6">
  <autoFilter ref="A106:D121"/>
  <tableColumns count="4">
    <tableColumn id="1" name="Expense" dataDxfId="3411"/>
    <tableColumn id="2" name="Description" dataDxfId="3410"/>
    <tableColumn id="4" name="Label Name" dataDxfId="3409"/>
    <tableColumn id="5" name="Amount" dataDxfId="3408" dataCellStyle="40% - Accent6"/>
  </tableColumns>
  <tableStyleInfo name="TableStyleLight18" showFirstColumn="0" showLastColumn="0" showRowStripes="1" showColumnStripes="0"/>
</table>
</file>

<file path=xl/tables/table376.xml><?xml version="1.0" encoding="utf-8"?>
<table xmlns="http://schemas.openxmlformats.org/spreadsheetml/2006/main" id="376" name="Demolition_47" displayName="Demolition_47" ref="A125:D140" totalsRowShown="0" headerRowDxfId="3407" dataDxfId="3405" headerRowBorderDxfId="3406" tableBorderDxfId="3404" headerRowCellStyle="40% - Accent6">
  <autoFilter ref="A125:D140"/>
  <tableColumns count="4">
    <tableColumn id="1" name="Expense" dataDxfId="3403"/>
    <tableColumn id="2" name="Description" dataDxfId="3402"/>
    <tableColumn id="4" name="Label Name" dataDxfId="3401"/>
    <tableColumn id="5" name="Amount" dataDxfId="3400" dataCellStyle="40% - Accent6"/>
  </tableColumns>
  <tableStyleInfo name="TableStyleLight18" showFirstColumn="0" showLastColumn="0" showRowStripes="1" showColumnStripes="0"/>
</table>
</file>

<file path=xl/tables/table377.xml><?xml version="1.0" encoding="utf-8"?>
<table xmlns="http://schemas.openxmlformats.org/spreadsheetml/2006/main" id="377" name="Rehab_47" displayName="Rehab_47" ref="A144:D159" totalsRowShown="0" headerRowDxfId="3399" dataDxfId="3397" headerRowBorderDxfId="3398" tableBorderDxfId="3396" headerRowCellStyle="40% - Accent6">
  <autoFilter ref="A144:D159"/>
  <tableColumns count="4">
    <tableColumn id="1" name="Expense" dataDxfId="3395"/>
    <tableColumn id="2" name="Description" dataDxfId="3394"/>
    <tableColumn id="4" name="Label Name" dataDxfId="3393"/>
    <tableColumn id="5" name="Amount" dataDxfId="3392" dataCellStyle="40% - Accent6"/>
  </tableColumns>
  <tableStyleInfo name="TableStyleLight18" showFirstColumn="0" showLastColumn="0" showRowStripes="1" showColumnStripes="0"/>
</table>
</file>

<file path=xl/tables/table378.xml><?xml version="1.0" encoding="utf-8"?>
<table xmlns="http://schemas.openxmlformats.org/spreadsheetml/2006/main" id="378" name="Grass_48" displayName="Grass_48" ref="A11:D26" totalsRowShown="0" headerRowDxfId="3391" dataDxfId="3389" headerRowBorderDxfId="3390" tableBorderDxfId="3388" headerRowCellStyle="40% - Accent6">
  <autoFilter ref="A11:D26"/>
  <tableColumns count="4">
    <tableColumn id="1" name="Expense" dataDxfId="3387"/>
    <tableColumn id="2" name="Description" dataDxfId="3386"/>
    <tableColumn id="4" name="Label Name" dataDxfId="3385"/>
    <tableColumn id="5" name="Amount" dataDxfId="3384" dataCellStyle="20% - Accent6"/>
  </tableColumns>
  <tableStyleInfo name="TableStyleLight18" showFirstColumn="0" showLastColumn="0" showRowStripes="1" showColumnStripes="0"/>
</table>
</file>

<file path=xl/tables/table379.xml><?xml version="1.0" encoding="utf-8"?>
<table xmlns="http://schemas.openxmlformats.org/spreadsheetml/2006/main" id="379" name="Tree_48" displayName="Tree_48" ref="A30:D45" totalsRowShown="0" headerRowDxfId="3383" dataDxfId="3381" headerRowBorderDxfId="3382" tableBorderDxfId="3380" headerRowCellStyle="40% - Accent6">
  <autoFilter ref="A30:D45"/>
  <tableColumns count="4">
    <tableColumn id="1" name="Expense" dataDxfId="3379"/>
    <tableColumn id="2" name="Description" dataDxfId="3378"/>
    <tableColumn id="4" name="Label Name" dataDxfId="3377"/>
    <tableColumn id="5" name="Amount" dataDxfId="3376" dataCellStyle="40% - Accent6"/>
  </tableColumns>
  <tableStyleInfo name="TableStyleLight18" showFirstColumn="0" showLastColumn="0" showRowStripes="1" showColumnStripes="0"/>
</table>
</file>

<file path=xl/tables/table38.xml><?xml version="1.0" encoding="utf-8"?>
<table xmlns="http://schemas.openxmlformats.org/spreadsheetml/2006/main" id="103" name="Boarding_5" displayName="Boarding_5" ref="A87:D102" totalsRowShown="0" headerRowDxfId="6111" dataDxfId="6109" headerRowBorderDxfId="6110" tableBorderDxfId="6108" headerRowCellStyle="40% - Accent6">
  <autoFilter ref="A87:D102"/>
  <tableColumns count="4">
    <tableColumn id="1" name="Expense" dataDxfId="6107"/>
    <tableColumn id="2" name="Description" dataDxfId="6106"/>
    <tableColumn id="4" name="Label Name" dataDxfId="6105"/>
    <tableColumn id="5" name="Amount" dataDxfId="6104" dataCellStyle="40% - Accent6"/>
  </tableColumns>
  <tableStyleInfo name="TableStyleLight18" showFirstColumn="0" showLastColumn="0" showRowStripes="1" showColumnStripes="0"/>
</table>
</file>

<file path=xl/tables/table380.xml><?xml version="1.0" encoding="utf-8"?>
<table xmlns="http://schemas.openxmlformats.org/spreadsheetml/2006/main" id="380" name="Pest_48" displayName="Pest_48" ref="A49:D64" totalsRowShown="0" headerRowDxfId="3375" dataDxfId="3373" headerRowBorderDxfId="3374" tableBorderDxfId="3372" headerRowCellStyle="40% - Accent6">
  <autoFilter ref="A49:D64"/>
  <tableColumns count="4">
    <tableColumn id="1" name="Expense" dataDxfId="3371"/>
    <tableColumn id="2" name="Description" dataDxfId="3370"/>
    <tableColumn id="4" name="Label Name" dataDxfId="3369"/>
    <tableColumn id="5" name="Amount" dataDxfId="3368" dataCellStyle="40% - Accent6"/>
  </tableColumns>
  <tableStyleInfo name="TableStyleLight18" showFirstColumn="0" showLastColumn="0" showRowStripes="1" showColumnStripes="0"/>
</table>
</file>

<file path=xl/tables/table381.xml><?xml version="1.0" encoding="utf-8"?>
<table xmlns="http://schemas.openxmlformats.org/spreadsheetml/2006/main" id="381" name="Garbage_48" displayName="Garbage_48" ref="A68:D83" totalsRowShown="0" headerRowDxfId="3367" dataDxfId="3365" headerRowBorderDxfId="3366" tableBorderDxfId="3364" headerRowCellStyle="40% - Accent6">
  <autoFilter ref="A68:D83"/>
  <tableColumns count="4">
    <tableColumn id="1" name="Expense" dataDxfId="3363"/>
    <tableColumn id="2" name="Description" dataDxfId="3362"/>
    <tableColumn id="4" name="Label Name" dataDxfId="3361"/>
    <tableColumn id="5" name="Amount" dataDxfId="3360" dataCellStyle="20% - Accent6"/>
  </tableColumns>
  <tableStyleInfo name="TableStyleLight18" showFirstColumn="0" showLastColumn="0" showRowStripes="1" showColumnStripes="0"/>
</table>
</file>

<file path=xl/tables/table382.xml><?xml version="1.0" encoding="utf-8"?>
<table xmlns="http://schemas.openxmlformats.org/spreadsheetml/2006/main" id="382" name="Boarding_48" displayName="Boarding_48" ref="A87:D102" totalsRowShown="0" headerRowDxfId="3359" dataDxfId="3357" headerRowBorderDxfId="3358" tableBorderDxfId="3356" headerRowCellStyle="40% - Accent6">
  <autoFilter ref="A87:D102"/>
  <tableColumns count="4">
    <tableColumn id="1" name="Expense" dataDxfId="3355"/>
    <tableColumn id="2" name="Description" dataDxfId="3354"/>
    <tableColumn id="4" name="Label Name" dataDxfId="3353"/>
    <tableColumn id="5" name="Amount" dataDxfId="3352" dataCellStyle="40% - Accent6"/>
  </tableColumns>
  <tableStyleInfo name="TableStyleLight18" showFirstColumn="0" showLastColumn="0" showRowStripes="1" showColumnStripes="0"/>
</table>
</file>

<file path=xl/tables/table383.xml><?xml version="1.0" encoding="utf-8"?>
<table xmlns="http://schemas.openxmlformats.org/spreadsheetml/2006/main" id="383" name="Fence_48" displayName="Fence_48" ref="A106:D121" totalsRowShown="0" headerRowDxfId="3351" dataDxfId="3349" headerRowBorderDxfId="3350" tableBorderDxfId="3348" headerRowCellStyle="40% - Accent6">
  <autoFilter ref="A106:D121"/>
  <tableColumns count="4">
    <tableColumn id="1" name="Expense" dataDxfId="3347"/>
    <tableColumn id="2" name="Description" dataDxfId="3346"/>
    <tableColumn id="4" name="Label Name" dataDxfId="3345"/>
    <tableColumn id="5" name="Amount" dataDxfId="3344" dataCellStyle="40% - Accent6"/>
  </tableColumns>
  <tableStyleInfo name="TableStyleLight18" showFirstColumn="0" showLastColumn="0" showRowStripes="1" showColumnStripes="0"/>
</table>
</file>

<file path=xl/tables/table384.xml><?xml version="1.0" encoding="utf-8"?>
<table xmlns="http://schemas.openxmlformats.org/spreadsheetml/2006/main" id="384" name="Demolition_48" displayName="Demolition_48" ref="A125:D140" totalsRowShown="0" headerRowDxfId="3343" dataDxfId="3341" headerRowBorderDxfId="3342" tableBorderDxfId="3340" headerRowCellStyle="40% - Accent6">
  <autoFilter ref="A125:D140"/>
  <tableColumns count="4">
    <tableColumn id="1" name="Expense" dataDxfId="3339"/>
    <tableColumn id="2" name="Description" dataDxfId="3338"/>
    <tableColumn id="4" name="Label Name" dataDxfId="3337"/>
    <tableColumn id="5" name="Amount" dataDxfId="3336" dataCellStyle="40% - Accent6"/>
  </tableColumns>
  <tableStyleInfo name="TableStyleLight18" showFirstColumn="0" showLastColumn="0" showRowStripes="1" showColumnStripes="0"/>
</table>
</file>

<file path=xl/tables/table385.xml><?xml version="1.0" encoding="utf-8"?>
<table xmlns="http://schemas.openxmlformats.org/spreadsheetml/2006/main" id="385" name="Rehab_48" displayName="Rehab_48" ref="A144:D159" totalsRowShown="0" headerRowDxfId="3335" dataDxfId="3333" headerRowBorderDxfId="3334" tableBorderDxfId="3332" headerRowCellStyle="40% - Accent6">
  <autoFilter ref="A144:D159"/>
  <tableColumns count="4">
    <tableColumn id="1" name="Expense" dataDxfId="3331"/>
    <tableColumn id="2" name="Description" dataDxfId="3330"/>
    <tableColumn id="4" name="Label Name" dataDxfId="3329"/>
    <tableColumn id="5" name="Amount" dataDxfId="3328" dataCellStyle="40% - Accent6"/>
  </tableColumns>
  <tableStyleInfo name="TableStyleLight18" showFirstColumn="0" showLastColumn="0" showRowStripes="1" showColumnStripes="0"/>
</table>
</file>

<file path=xl/tables/table386.xml><?xml version="1.0" encoding="utf-8"?>
<table xmlns="http://schemas.openxmlformats.org/spreadsheetml/2006/main" id="386" name="Grass_49" displayName="Grass_49" ref="A11:D26" totalsRowShown="0" headerRowDxfId="3327" dataDxfId="3325" headerRowBorderDxfId="3326" tableBorderDxfId="3324" headerRowCellStyle="40% - Accent6">
  <autoFilter ref="A11:D26"/>
  <tableColumns count="4">
    <tableColumn id="1" name="Expense" dataDxfId="3323"/>
    <tableColumn id="2" name="Description" dataDxfId="3322"/>
    <tableColumn id="4" name="Label Name" dataDxfId="3321"/>
    <tableColumn id="5" name="Amount" dataDxfId="3320" dataCellStyle="20% - Accent6"/>
  </tableColumns>
  <tableStyleInfo name="TableStyleLight18" showFirstColumn="0" showLastColumn="0" showRowStripes="1" showColumnStripes="0"/>
</table>
</file>

<file path=xl/tables/table387.xml><?xml version="1.0" encoding="utf-8"?>
<table xmlns="http://schemas.openxmlformats.org/spreadsheetml/2006/main" id="387" name="Tree_49" displayName="Tree_49" ref="A30:D45" totalsRowShown="0" headerRowDxfId="3319" dataDxfId="3317" headerRowBorderDxfId="3318" tableBorderDxfId="3316" headerRowCellStyle="40% - Accent6">
  <autoFilter ref="A30:D45"/>
  <tableColumns count="4">
    <tableColumn id="1" name="Expense" dataDxfId="3315"/>
    <tableColumn id="2" name="Description" dataDxfId="3314"/>
    <tableColumn id="4" name="Label Name" dataDxfId="3313"/>
    <tableColumn id="5" name="Amount" dataDxfId="3312" dataCellStyle="40% - Accent6"/>
  </tableColumns>
  <tableStyleInfo name="TableStyleLight18" showFirstColumn="0" showLastColumn="0" showRowStripes="1" showColumnStripes="0"/>
</table>
</file>

<file path=xl/tables/table388.xml><?xml version="1.0" encoding="utf-8"?>
<table xmlns="http://schemas.openxmlformats.org/spreadsheetml/2006/main" id="388" name="Pest_49" displayName="Pest_49" ref="A49:D64" totalsRowShown="0" headerRowDxfId="3311" dataDxfId="3309" headerRowBorderDxfId="3310" tableBorderDxfId="3308" headerRowCellStyle="40% - Accent6">
  <autoFilter ref="A49:D64"/>
  <tableColumns count="4">
    <tableColumn id="1" name="Expense" dataDxfId="3307"/>
    <tableColumn id="2" name="Description" dataDxfId="3306"/>
    <tableColumn id="4" name="Label Name" dataDxfId="3305"/>
    <tableColumn id="5" name="Amount" dataDxfId="3304" dataCellStyle="40% - Accent6"/>
  </tableColumns>
  <tableStyleInfo name="TableStyleLight18" showFirstColumn="0" showLastColumn="0" showRowStripes="1" showColumnStripes="0"/>
</table>
</file>

<file path=xl/tables/table389.xml><?xml version="1.0" encoding="utf-8"?>
<table xmlns="http://schemas.openxmlformats.org/spreadsheetml/2006/main" id="389" name="Garbage_49" displayName="Garbage_49" ref="A68:D83" totalsRowShown="0" headerRowDxfId="3303" dataDxfId="3301" headerRowBorderDxfId="3302" tableBorderDxfId="3300" headerRowCellStyle="40% - Accent6">
  <autoFilter ref="A68:D83"/>
  <tableColumns count="4">
    <tableColumn id="1" name="Expense" dataDxfId="3299"/>
    <tableColumn id="2" name="Description" dataDxfId="3298"/>
    <tableColumn id="4" name="Label Name" dataDxfId="3297"/>
    <tableColumn id="5" name="Amount" dataDxfId="3296" dataCellStyle="20% - Accent6"/>
  </tableColumns>
  <tableStyleInfo name="TableStyleLight18" showFirstColumn="0" showLastColumn="0" showRowStripes="1" showColumnStripes="0"/>
</table>
</file>

<file path=xl/tables/table39.xml><?xml version="1.0" encoding="utf-8"?>
<table xmlns="http://schemas.openxmlformats.org/spreadsheetml/2006/main" id="104" name="Fence_5" displayName="Fence_5" ref="A106:D121" totalsRowShown="0" headerRowDxfId="6103" dataDxfId="6101" headerRowBorderDxfId="6102" tableBorderDxfId="6100" headerRowCellStyle="40% - Accent6">
  <autoFilter ref="A106:D121"/>
  <tableColumns count="4">
    <tableColumn id="1" name="Expense" dataDxfId="6099"/>
    <tableColumn id="2" name="Description" dataDxfId="6098"/>
    <tableColumn id="4" name="Label Name" dataDxfId="6097"/>
    <tableColumn id="5" name="Amount" dataDxfId="6096" dataCellStyle="40% - Accent6"/>
  </tableColumns>
  <tableStyleInfo name="TableStyleLight18" showFirstColumn="0" showLastColumn="0" showRowStripes="1" showColumnStripes="0"/>
</table>
</file>

<file path=xl/tables/table390.xml><?xml version="1.0" encoding="utf-8"?>
<table xmlns="http://schemas.openxmlformats.org/spreadsheetml/2006/main" id="390" name="Boarding_49" displayName="Boarding_49" ref="A87:D102" totalsRowShown="0" headerRowDxfId="3295" dataDxfId="3293" headerRowBorderDxfId="3294" tableBorderDxfId="3292" headerRowCellStyle="40% - Accent6">
  <autoFilter ref="A87:D102"/>
  <tableColumns count="4">
    <tableColumn id="1" name="Expense" dataDxfId="3291"/>
    <tableColumn id="2" name="Description" dataDxfId="3290"/>
    <tableColumn id="4" name="Label Name" dataDxfId="3289"/>
    <tableColumn id="5" name="Amount" dataDxfId="3288" dataCellStyle="40% - Accent6"/>
  </tableColumns>
  <tableStyleInfo name="TableStyleLight18" showFirstColumn="0" showLastColumn="0" showRowStripes="1" showColumnStripes="0"/>
</table>
</file>

<file path=xl/tables/table391.xml><?xml version="1.0" encoding="utf-8"?>
<table xmlns="http://schemas.openxmlformats.org/spreadsheetml/2006/main" id="391" name="Fence_49" displayName="Fence_49" ref="A106:D121" totalsRowShown="0" headerRowDxfId="3287" dataDxfId="3285" headerRowBorderDxfId="3286" tableBorderDxfId="3284" headerRowCellStyle="40% - Accent6">
  <autoFilter ref="A106:D121"/>
  <tableColumns count="4">
    <tableColumn id="1" name="Expense" dataDxfId="3283"/>
    <tableColumn id="2" name="Description" dataDxfId="3282"/>
    <tableColumn id="4" name="Label Name" dataDxfId="3281"/>
    <tableColumn id="5" name="Amount" dataDxfId="3280" dataCellStyle="40% - Accent6"/>
  </tableColumns>
  <tableStyleInfo name="TableStyleLight18" showFirstColumn="0" showLastColumn="0" showRowStripes="1" showColumnStripes="0"/>
</table>
</file>

<file path=xl/tables/table392.xml><?xml version="1.0" encoding="utf-8"?>
<table xmlns="http://schemas.openxmlformats.org/spreadsheetml/2006/main" id="392" name="Demolition_49" displayName="Demolition_49" ref="A125:D140" totalsRowShown="0" headerRowDxfId="3279" dataDxfId="3277" headerRowBorderDxfId="3278" tableBorderDxfId="3276" headerRowCellStyle="40% - Accent6">
  <autoFilter ref="A125:D140"/>
  <tableColumns count="4">
    <tableColumn id="1" name="Expense" dataDxfId="3275"/>
    <tableColumn id="2" name="Description" dataDxfId="3274"/>
    <tableColumn id="4" name="Label Name" dataDxfId="3273"/>
    <tableColumn id="5" name="Amount" dataDxfId="3272" dataCellStyle="40% - Accent6"/>
  </tableColumns>
  <tableStyleInfo name="TableStyleLight18" showFirstColumn="0" showLastColumn="0" showRowStripes="1" showColumnStripes="0"/>
</table>
</file>

<file path=xl/tables/table393.xml><?xml version="1.0" encoding="utf-8"?>
<table xmlns="http://schemas.openxmlformats.org/spreadsheetml/2006/main" id="393" name="Rehab_49" displayName="Rehab_49" ref="A144:D159" totalsRowShown="0" headerRowDxfId="3271" dataDxfId="3269" headerRowBorderDxfId="3270" tableBorderDxfId="3268" headerRowCellStyle="40% - Accent6">
  <autoFilter ref="A144:D159"/>
  <tableColumns count="4">
    <tableColumn id="1" name="Expense" dataDxfId="3267"/>
    <tableColumn id="2" name="Description" dataDxfId="3266"/>
    <tableColumn id="4" name="Label Name" dataDxfId="3265"/>
    <tableColumn id="5" name="Amount" dataDxfId="3264" dataCellStyle="40% - Accent6"/>
  </tableColumns>
  <tableStyleInfo name="TableStyleLight18" showFirstColumn="0" showLastColumn="0" showRowStripes="1" showColumnStripes="0"/>
</table>
</file>

<file path=xl/tables/table394.xml><?xml version="1.0" encoding="utf-8"?>
<table xmlns="http://schemas.openxmlformats.org/spreadsheetml/2006/main" id="394" name="Grass_50" displayName="Grass_50" ref="A11:D26" totalsRowShown="0" headerRowDxfId="3263" dataDxfId="3261" headerRowBorderDxfId="3262" tableBorderDxfId="3260" headerRowCellStyle="40% - Accent6">
  <autoFilter ref="A11:D26"/>
  <tableColumns count="4">
    <tableColumn id="1" name="Expense" dataDxfId="3259"/>
    <tableColumn id="2" name="Description" dataDxfId="3258"/>
    <tableColumn id="4" name="Label Name" dataDxfId="3257"/>
    <tableColumn id="5" name="Amount" dataDxfId="3256" dataCellStyle="20% - Accent6"/>
  </tableColumns>
  <tableStyleInfo name="TableStyleLight18" showFirstColumn="0" showLastColumn="0" showRowStripes="1" showColumnStripes="0"/>
</table>
</file>

<file path=xl/tables/table395.xml><?xml version="1.0" encoding="utf-8"?>
<table xmlns="http://schemas.openxmlformats.org/spreadsheetml/2006/main" id="395" name="Tree_50" displayName="Tree_50" ref="A30:D45" totalsRowShown="0" headerRowDxfId="3255" dataDxfId="3253" headerRowBorderDxfId="3254" tableBorderDxfId="3252" headerRowCellStyle="40% - Accent6">
  <autoFilter ref="A30:D45"/>
  <tableColumns count="4">
    <tableColumn id="1" name="Expense" dataDxfId="3251"/>
    <tableColumn id="2" name="Description" dataDxfId="3250"/>
    <tableColumn id="4" name="Label Name" dataDxfId="3249"/>
    <tableColumn id="5" name="Amount" dataDxfId="3248" dataCellStyle="40% - Accent6"/>
  </tableColumns>
  <tableStyleInfo name="TableStyleLight18" showFirstColumn="0" showLastColumn="0" showRowStripes="1" showColumnStripes="0"/>
</table>
</file>

<file path=xl/tables/table396.xml><?xml version="1.0" encoding="utf-8"?>
<table xmlns="http://schemas.openxmlformats.org/spreadsheetml/2006/main" id="396" name="Pest_50" displayName="Pest_50" ref="A49:D64" totalsRowShown="0" headerRowDxfId="3247" dataDxfId="3245" headerRowBorderDxfId="3246" tableBorderDxfId="3244" headerRowCellStyle="40% - Accent6">
  <autoFilter ref="A49:D64"/>
  <tableColumns count="4">
    <tableColumn id="1" name="Expense" dataDxfId="3243"/>
    <tableColumn id="2" name="Description" dataDxfId="3242"/>
    <tableColumn id="4" name="Label Name" dataDxfId="3241"/>
    <tableColumn id="5" name="Amount" dataDxfId="3240" dataCellStyle="40% - Accent6"/>
  </tableColumns>
  <tableStyleInfo name="TableStyleLight18" showFirstColumn="0" showLastColumn="0" showRowStripes="1" showColumnStripes="0"/>
</table>
</file>

<file path=xl/tables/table397.xml><?xml version="1.0" encoding="utf-8"?>
<table xmlns="http://schemas.openxmlformats.org/spreadsheetml/2006/main" id="397" name="Garbage_50" displayName="Garbage_50" ref="A68:D83" totalsRowShown="0" headerRowDxfId="3239" dataDxfId="3237" headerRowBorderDxfId="3238" tableBorderDxfId="3236" headerRowCellStyle="40% - Accent6">
  <autoFilter ref="A68:D83"/>
  <tableColumns count="4">
    <tableColumn id="1" name="Expense" dataDxfId="3235"/>
    <tableColumn id="2" name="Description" dataDxfId="3234"/>
    <tableColumn id="4" name="Label Name" dataDxfId="3233"/>
    <tableColumn id="5" name="Amount" dataDxfId="3232" dataCellStyle="20% - Accent6"/>
  </tableColumns>
  <tableStyleInfo name="TableStyleLight18" showFirstColumn="0" showLastColumn="0" showRowStripes="1" showColumnStripes="0"/>
</table>
</file>

<file path=xl/tables/table398.xml><?xml version="1.0" encoding="utf-8"?>
<table xmlns="http://schemas.openxmlformats.org/spreadsheetml/2006/main" id="398" name="Boarding_50" displayName="Boarding_50" ref="A87:D102" totalsRowShown="0" headerRowDxfId="3231" dataDxfId="3229" headerRowBorderDxfId="3230" tableBorderDxfId="3228" headerRowCellStyle="40% - Accent6">
  <autoFilter ref="A87:D102"/>
  <tableColumns count="4">
    <tableColumn id="1" name="Expense" dataDxfId="3227"/>
    <tableColumn id="2" name="Description" dataDxfId="3226"/>
    <tableColumn id="4" name="Label Name" dataDxfId="3225"/>
    <tableColumn id="5" name="Amount" dataDxfId="3224" dataCellStyle="40% - Accent6"/>
  </tableColumns>
  <tableStyleInfo name="TableStyleLight18" showFirstColumn="0" showLastColumn="0" showRowStripes="1" showColumnStripes="0"/>
</table>
</file>

<file path=xl/tables/table399.xml><?xml version="1.0" encoding="utf-8"?>
<table xmlns="http://schemas.openxmlformats.org/spreadsheetml/2006/main" id="399" name="Fence_50" displayName="Fence_50" ref="A106:D121" totalsRowShown="0" headerRowDxfId="3223" dataDxfId="3221" headerRowBorderDxfId="3222" tableBorderDxfId="3220" headerRowCellStyle="40% - Accent6">
  <autoFilter ref="A106:D121"/>
  <tableColumns count="4">
    <tableColumn id="1" name="Expense" dataDxfId="3219"/>
    <tableColumn id="2" name="Description" dataDxfId="3218"/>
    <tableColumn id="4" name="Label Name" dataDxfId="3217"/>
    <tableColumn id="5" name="Amount" dataDxfId="3216" dataCellStyle="40% - Accent6"/>
  </tableColumns>
  <tableStyleInfo name="TableStyleLight18" showFirstColumn="0" showLastColumn="0" showRowStripes="1" showColumnStripes="0"/>
</table>
</file>

<file path=xl/tables/table4.xml><?xml version="1.0" encoding="utf-8"?>
<table xmlns="http://schemas.openxmlformats.org/spreadsheetml/2006/main" id="4" name="Pest_1" displayName="Pest_1" ref="A49:D64" totalsRowShown="0" headerRowDxfId="6383" dataDxfId="6381" headerRowBorderDxfId="6382" tableBorderDxfId="6380" headerRowCellStyle="40% - Accent6">
  <autoFilter ref="A49:D64"/>
  <tableColumns count="4">
    <tableColumn id="1" name="Expense" dataDxfId="6379"/>
    <tableColumn id="2" name="Description" dataDxfId="6378"/>
    <tableColumn id="4" name="Label Name" dataDxfId="6377"/>
    <tableColumn id="5" name="Amount" dataDxfId="6376" dataCellStyle="40% - Accent6"/>
  </tableColumns>
  <tableStyleInfo name="TableStyleLight18" showFirstColumn="0" showLastColumn="0" showRowStripes="1" showColumnStripes="0"/>
</table>
</file>

<file path=xl/tables/table40.xml><?xml version="1.0" encoding="utf-8"?>
<table xmlns="http://schemas.openxmlformats.org/spreadsheetml/2006/main" id="105" name="Demolition_5" displayName="Demolition_5" ref="A125:D140" totalsRowShown="0" headerRowDxfId="6095" dataDxfId="6093" headerRowBorderDxfId="6094" tableBorderDxfId="6092" headerRowCellStyle="40% - Accent6">
  <autoFilter ref="A125:D140"/>
  <tableColumns count="4">
    <tableColumn id="1" name="Expense" dataDxfId="6091"/>
    <tableColumn id="2" name="Description" dataDxfId="6090"/>
    <tableColumn id="4" name="Label Name" dataDxfId="6089"/>
    <tableColumn id="5" name="Amount" dataDxfId="6088" dataCellStyle="40% - Accent6"/>
  </tableColumns>
  <tableStyleInfo name="TableStyleLight18" showFirstColumn="0" showLastColumn="0" showRowStripes="1" showColumnStripes="0"/>
</table>
</file>

<file path=xl/tables/table400.xml><?xml version="1.0" encoding="utf-8"?>
<table xmlns="http://schemas.openxmlformats.org/spreadsheetml/2006/main" id="400" name="Demolition_50" displayName="Demolition_50" ref="A125:D140" totalsRowShown="0" headerRowDxfId="3215" dataDxfId="3213" headerRowBorderDxfId="3214" tableBorderDxfId="3212" headerRowCellStyle="40% - Accent6">
  <autoFilter ref="A125:D140"/>
  <tableColumns count="4">
    <tableColumn id="1" name="Expense" dataDxfId="3211"/>
    <tableColumn id="2" name="Description" dataDxfId="3210"/>
    <tableColumn id="4" name="Label Name" dataDxfId="3209"/>
    <tableColumn id="5" name="Amount" dataDxfId="3208" dataCellStyle="40% - Accent6"/>
  </tableColumns>
  <tableStyleInfo name="TableStyleLight18" showFirstColumn="0" showLastColumn="0" showRowStripes="1" showColumnStripes="0"/>
</table>
</file>

<file path=xl/tables/table401.xml><?xml version="1.0" encoding="utf-8"?>
<table xmlns="http://schemas.openxmlformats.org/spreadsheetml/2006/main" id="401" name="Rehab_50" displayName="Rehab_50" ref="A144:D159" totalsRowShown="0" headerRowDxfId="3207" dataDxfId="3205" headerRowBorderDxfId="3206" tableBorderDxfId="3204" headerRowCellStyle="40% - Accent6">
  <autoFilter ref="A144:D159"/>
  <tableColumns count="4">
    <tableColumn id="1" name="Expense" dataDxfId="3203"/>
    <tableColumn id="2" name="Description" dataDxfId="3202"/>
    <tableColumn id="4" name="Label Name" dataDxfId="3201"/>
    <tableColumn id="5" name="Amount" dataDxfId="3200" dataCellStyle="40% - Accent6"/>
  </tableColumns>
  <tableStyleInfo name="TableStyleLight18" showFirstColumn="0" showLastColumn="0" showRowStripes="1" showColumnStripes="0"/>
</table>
</file>

<file path=xl/tables/table402.xml><?xml version="1.0" encoding="utf-8"?>
<table xmlns="http://schemas.openxmlformats.org/spreadsheetml/2006/main" id="402" name="Grass_51" displayName="Grass_51" ref="A11:D26" totalsRowShown="0" headerRowDxfId="3199" dataDxfId="3197" headerRowBorderDxfId="3198" tableBorderDxfId="3196" headerRowCellStyle="40% - Accent6">
  <autoFilter ref="A11:D26"/>
  <tableColumns count="4">
    <tableColumn id="1" name="Expense" dataDxfId="3195"/>
    <tableColumn id="2" name="Description" dataDxfId="3194"/>
    <tableColumn id="4" name="Label Name" dataDxfId="3193"/>
    <tableColumn id="5" name="Amount" dataDxfId="3192" dataCellStyle="20% - Accent6"/>
  </tableColumns>
  <tableStyleInfo name="TableStyleLight18" showFirstColumn="0" showLastColumn="0" showRowStripes="1" showColumnStripes="0"/>
</table>
</file>

<file path=xl/tables/table403.xml><?xml version="1.0" encoding="utf-8"?>
<table xmlns="http://schemas.openxmlformats.org/spreadsheetml/2006/main" id="403" name="Tree_51" displayName="Tree_51" ref="A30:D45" totalsRowShown="0" headerRowDxfId="3191" dataDxfId="3189" headerRowBorderDxfId="3190" tableBorderDxfId="3188" headerRowCellStyle="40% - Accent6">
  <autoFilter ref="A30:D45"/>
  <tableColumns count="4">
    <tableColumn id="1" name="Expense" dataDxfId="3187"/>
    <tableColumn id="2" name="Description" dataDxfId="3186"/>
    <tableColumn id="4" name="Label Name" dataDxfId="3185"/>
    <tableColumn id="5" name="Amount" dataDxfId="3184" dataCellStyle="40% - Accent6"/>
  </tableColumns>
  <tableStyleInfo name="TableStyleLight18" showFirstColumn="0" showLastColumn="0" showRowStripes="1" showColumnStripes="0"/>
</table>
</file>

<file path=xl/tables/table404.xml><?xml version="1.0" encoding="utf-8"?>
<table xmlns="http://schemas.openxmlformats.org/spreadsheetml/2006/main" id="404" name="Pest_51" displayName="Pest_51" ref="A49:D64" totalsRowShown="0" headerRowDxfId="3183" dataDxfId="3181" headerRowBorderDxfId="3182" tableBorderDxfId="3180" headerRowCellStyle="40% - Accent6">
  <autoFilter ref="A49:D64"/>
  <tableColumns count="4">
    <tableColumn id="1" name="Expense" dataDxfId="3179"/>
    <tableColumn id="2" name="Description" dataDxfId="3178"/>
    <tableColumn id="4" name="Label Name" dataDxfId="3177"/>
    <tableColumn id="5" name="Amount" dataDxfId="3176" dataCellStyle="40% - Accent6"/>
  </tableColumns>
  <tableStyleInfo name="TableStyleLight18" showFirstColumn="0" showLastColumn="0" showRowStripes="1" showColumnStripes="0"/>
</table>
</file>

<file path=xl/tables/table405.xml><?xml version="1.0" encoding="utf-8"?>
<table xmlns="http://schemas.openxmlformats.org/spreadsheetml/2006/main" id="405" name="Garbage_51" displayName="Garbage_51" ref="A68:D83" totalsRowShown="0" headerRowDxfId="3175" dataDxfId="3173" headerRowBorderDxfId="3174" tableBorderDxfId="3172" headerRowCellStyle="40% - Accent6">
  <autoFilter ref="A68:D83"/>
  <tableColumns count="4">
    <tableColumn id="1" name="Expense" dataDxfId="3171"/>
    <tableColumn id="2" name="Description" dataDxfId="3170"/>
    <tableColumn id="4" name="Label Name" dataDxfId="3169"/>
    <tableColumn id="5" name="Amount" dataDxfId="3168" dataCellStyle="20% - Accent6"/>
  </tableColumns>
  <tableStyleInfo name="TableStyleLight18" showFirstColumn="0" showLastColumn="0" showRowStripes="1" showColumnStripes="0"/>
</table>
</file>

<file path=xl/tables/table406.xml><?xml version="1.0" encoding="utf-8"?>
<table xmlns="http://schemas.openxmlformats.org/spreadsheetml/2006/main" id="406" name="Boarding_51" displayName="Boarding_51" ref="A87:D102" totalsRowShown="0" headerRowDxfId="3167" dataDxfId="3165" headerRowBorderDxfId="3166" tableBorderDxfId="3164" headerRowCellStyle="40% - Accent6">
  <autoFilter ref="A87:D102"/>
  <tableColumns count="4">
    <tableColumn id="1" name="Expense" dataDxfId="3163"/>
    <tableColumn id="2" name="Description" dataDxfId="3162"/>
    <tableColumn id="4" name="Label Name" dataDxfId="3161"/>
    <tableColumn id="5" name="Amount" dataDxfId="3160" dataCellStyle="40% - Accent6"/>
  </tableColumns>
  <tableStyleInfo name="TableStyleLight18" showFirstColumn="0" showLastColumn="0" showRowStripes="1" showColumnStripes="0"/>
</table>
</file>

<file path=xl/tables/table407.xml><?xml version="1.0" encoding="utf-8"?>
<table xmlns="http://schemas.openxmlformats.org/spreadsheetml/2006/main" id="407" name="Fence_51" displayName="Fence_51" ref="A106:D121" totalsRowShown="0" headerRowDxfId="3159" dataDxfId="3157" headerRowBorderDxfId="3158" tableBorderDxfId="3156" headerRowCellStyle="40% - Accent6">
  <autoFilter ref="A106:D121"/>
  <tableColumns count="4">
    <tableColumn id="1" name="Expense" dataDxfId="3155"/>
    <tableColumn id="2" name="Description" dataDxfId="3154"/>
    <tableColumn id="4" name="Label Name" dataDxfId="3153"/>
    <tableColumn id="5" name="Amount" dataDxfId="3152" dataCellStyle="40% - Accent6"/>
  </tableColumns>
  <tableStyleInfo name="TableStyleLight18" showFirstColumn="0" showLastColumn="0" showRowStripes="1" showColumnStripes="0"/>
</table>
</file>

<file path=xl/tables/table408.xml><?xml version="1.0" encoding="utf-8"?>
<table xmlns="http://schemas.openxmlformats.org/spreadsheetml/2006/main" id="408" name="Demolition_51" displayName="Demolition_51" ref="A125:D140" totalsRowShown="0" headerRowDxfId="3151" dataDxfId="3149" headerRowBorderDxfId="3150" tableBorderDxfId="3148" headerRowCellStyle="40% - Accent6">
  <autoFilter ref="A125:D140"/>
  <tableColumns count="4">
    <tableColumn id="1" name="Expense" dataDxfId="3147"/>
    <tableColumn id="2" name="Description" dataDxfId="3146"/>
    <tableColumn id="4" name="Label Name" dataDxfId="3145"/>
    <tableColumn id="5" name="Amount" dataDxfId="3144" dataCellStyle="40% - Accent6"/>
  </tableColumns>
  <tableStyleInfo name="TableStyleLight18" showFirstColumn="0" showLastColumn="0" showRowStripes="1" showColumnStripes="0"/>
</table>
</file>

<file path=xl/tables/table409.xml><?xml version="1.0" encoding="utf-8"?>
<table xmlns="http://schemas.openxmlformats.org/spreadsheetml/2006/main" id="409" name="Rehab_51" displayName="Rehab_51" ref="A144:D159" totalsRowShown="0" headerRowDxfId="3143" dataDxfId="3141" headerRowBorderDxfId="3142" tableBorderDxfId="3140" headerRowCellStyle="40% - Accent6">
  <autoFilter ref="A144:D159"/>
  <tableColumns count="4">
    <tableColumn id="1" name="Expense" dataDxfId="3139"/>
    <tableColumn id="2" name="Description" dataDxfId="3138"/>
    <tableColumn id="4" name="Label Name" dataDxfId="3137"/>
    <tableColumn id="5" name="Amount" dataDxfId="3136" dataCellStyle="40% - Accent6"/>
  </tableColumns>
  <tableStyleInfo name="TableStyleLight18" showFirstColumn="0" showLastColumn="0" showRowStripes="1" showColumnStripes="0"/>
</table>
</file>

<file path=xl/tables/table41.xml><?xml version="1.0" encoding="utf-8"?>
<table xmlns="http://schemas.openxmlformats.org/spreadsheetml/2006/main" id="106" name="Rehab_5" displayName="Rehab_5" ref="A144:D159" totalsRowShown="0" headerRowDxfId="6087" dataDxfId="6085" headerRowBorderDxfId="6086" tableBorderDxfId="6084" headerRowCellStyle="40% - Accent6">
  <autoFilter ref="A144:D159"/>
  <tableColumns count="4">
    <tableColumn id="1" name="Expense" dataDxfId="6083"/>
    <tableColumn id="2" name="Description" dataDxfId="6082"/>
    <tableColumn id="4" name="Label Name" dataDxfId="6081"/>
    <tableColumn id="5" name="Amount" dataDxfId="6080" dataCellStyle="40% - Accent6"/>
  </tableColumns>
  <tableStyleInfo name="TableStyleLight18" showFirstColumn="0" showLastColumn="0" showRowStripes="1" showColumnStripes="0"/>
</table>
</file>

<file path=xl/tables/table410.xml><?xml version="1.0" encoding="utf-8"?>
<table xmlns="http://schemas.openxmlformats.org/spreadsheetml/2006/main" id="410" name="Grass_52" displayName="Grass_52" ref="A11:D26" totalsRowShown="0" headerRowDxfId="3135" dataDxfId="3133" headerRowBorderDxfId="3134" tableBorderDxfId="3132" headerRowCellStyle="40% - Accent6">
  <autoFilter ref="A11:D26"/>
  <tableColumns count="4">
    <tableColumn id="1" name="Expense" dataDxfId="3131"/>
    <tableColumn id="2" name="Description" dataDxfId="3130"/>
    <tableColumn id="4" name="Label Name" dataDxfId="3129"/>
    <tableColumn id="5" name="Amount" dataDxfId="3128" dataCellStyle="20% - Accent6"/>
  </tableColumns>
  <tableStyleInfo name="TableStyleLight18" showFirstColumn="0" showLastColumn="0" showRowStripes="1" showColumnStripes="0"/>
</table>
</file>

<file path=xl/tables/table411.xml><?xml version="1.0" encoding="utf-8"?>
<table xmlns="http://schemas.openxmlformats.org/spreadsheetml/2006/main" id="411" name="Tree_52" displayName="Tree_52" ref="A30:D45" totalsRowShown="0" headerRowDxfId="3127" dataDxfId="3125" headerRowBorderDxfId="3126" tableBorderDxfId="3124" headerRowCellStyle="40% - Accent6">
  <autoFilter ref="A30:D45"/>
  <tableColumns count="4">
    <tableColumn id="1" name="Expense" dataDxfId="3123"/>
    <tableColumn id="2" name="Description" dataDxfId="3122"/>
    <tableColumn id="4" name="Label Name" dataDxfId="3121"/>
    <tableColumn id="5" name="Amount" dataDxfId="3120" dataCellStyle="40% - Accent6"/>
  </tableColumns>
  <tableStyleInfo name="TableStyleLight18" showFirstColumn="0" showLastColumn="0" showRowStripes="1" showColumnStripes="0"/>
</table>
</file>

<file path=xl/tables/table412.xml><?xml version="1.0" encoding="utf-8"?>
<table xmlns="http://schemas.openxmlformats.org/spreadsheetml/2006/main" id="412" name="Pest_52" displayName="Pest_52" ref="A49:D64" totalsRowShown="0" headerRowDxfId="3119" dataDxfId="3117" headerRowBorderDxfId="3118" tableBorderDxfId="3116" headerRowCellStyle="40% - Accent6">
  <autoFilter ref="A49:D64"/>
  <tableColumns count="4">
    <tableColumn id="1" name="Expense" dataDxfId="3115"/>
    <tableColumn id="2" name="Description" dataDxfId="3114"/>
    <tableColumn id="4" name="Label Name" dataDxfId="3113"/>
    <tableColumn id="5" name="Amount" dataDxfId="3112" dataCellStyle="40% - Accent6"/>
  </tableColumns>
  <tableStyleInfo name="TableStyleLight18" showFirstColumn="0" showLastColumn="0" showRowStripes="1" showColumnStripes="0"/>
</table>
</file>

<file path=xl/tables/table413.xml><?xml version="1.0" encoding="utf-8"?>
<table xmlns="http://schemas.openxmlformats.org/spreadsheetml/2006/main" id="413" name="Garbage_52" displayName="Garbage_52" ref="A68:D83" totalsRowShown="0" headerRowDxfId="3111" dataDxfId="3109" headerRowBorderDxfId="3110" tableBorderDxfId="3108" headerRowCellStyle="40% - Accent6">
  <autoFilter ref="A68:D83"/>
  <tableColumns count="4">
    <tableColumn id="1" name="Expense" dataDxfId="3107"/>
    <tableColumn id="2" name="Description" dataDxfId="3106"/>
    <tableColumn id="4" name="Label Name" dataDxfId="3105"/>
    <tableColumn id="5" name="Amount" dataDxfId="3104" dataCellStyle="20% - Accent6"/>
  </tableColumns>
  <tableStyleInfo name="TableStyleLight18" showFirstColumn="0" showLastColumn="0" showRowStripes="1" showColumnStripes="0"/>
</table>
</file>

<file path=xl/tables/table414.xml><?xml version="1.0" encoding="utf-8"?>
<table xmlns="http://schemas.openxmlformats.org/spreadsheetml/2006/main" id="414" name="Boarding_52" displayName="Boarding_52" ref="A87:D102" totalsRowShown="0" headerRowDxfId="3103" dataDxfId="3101" headerRowBorderDxfId="3102" tableBorderDxfId="3100" headerRowCellStyle="40% - Accent6">
  <autoFilter ref="A87:D102"/>
  <tableColumns count="4">
    <tableColumn id="1" name="Expense" dataDxfId="3099"/>
    <tableColumn id="2" name="Description" dataDxfId="3098"/>
    <tableColumn id="4" name="Label Name" dataDxfId="3097"/>
    <tableColumn id="5" name="Amount" dataDxfId="3096" dataCellStyle="40% - Accent6"/>
  </tableColumns>
  <tableStyleInfo name="TableStyleLight18" showFirstColumn="0" showLastColumn="0" showRowStripes="1" showColumnStripes="0"/>
</table>
</file>

<file path=xl/tables/table415.xml><?xml version="1.0" encoding="utf-8"?>
<table xmlns="http://schemas.openxmlformats.org/spreadsheetml/2006/main" id="415" name="Fence_52" displayName="Fence_52" ref="A106:D121" totalsRowShown="0" headerRowDxfId="3095" dataDxfId="3093" headerRowBorderDxfId="3094" tableBorderDxfId="3092" headerRowCellStyle="40% - Accent6">
  <autoFilter ref="A106:D121"/>
  <tableColumns count="4">
    <tableColumn id="1" name="Expense" dataDxfId="3091"/>
    <tableColumn id="2" name="Description" dataDxfId="3090"/>
    <tableColumn id="4" name="Label Name" dataDxfId="3089"/>
    <tableColumn id="5" name="Amount" dataDxfId="3088" dataCellStyle="40% - Accent6"/>
  </tableColumns>
  <tableStyleInfo name="TableStyleLight18" showFirstColumn="0" showLastColumn="0" showRowStripes="1" showColumnStripes="0"/>
</table>
</file>

<file path=xl/tables/table416.xml><?xml version="1.0" encoding="utf-8"?>
<table xmlns="http://schemas.openxmlformats.org/spreadsheetml/2006/main" id="416" name="Demolition_52" displayName="Demolition_52" ref="A125:D140" totalsRowShown="0" headerRowDxfId="3087" dataDxfId="3085" headerRowBorderDxfId="3086" tableBorderDxfId="3084" headerRowCellStyle="40% - Accent6">
  <autoFilter ref="A125:D140"/>
  <tableColumns count="4">
    <tableColumn id="1" name="Expense" dataDxfId="3083"/>
    <tableColumn id="2" name="Description" dataDxfId="3082"/>
    <tableColumn id="4" name="Label Name" dataDxfId="3081"/>
    <tableColumn id="5" name="Amount" dataDxfId="3080" dataCellStyle="40% - Accent6"/>
  </tableColumns>
  <tableStyleInfo name="TableStyleLight18" showFirstColumn="0" showLastColumn="0" showRowStripes="1" showColumnStripes="0"/>
</table>
</file>

<file path=xl/tables/table417.xml><?xml version="1.0" encoding="utf-8"?>
<table xmlns="http://schemas.openxmlformats.org/spreadsheetml/2006/main" id="417" name="Rehab_52" displayName="Rehab_52" ref="A144:D159" totalsRowShown="0" headerRowDxfId="3079" dataDxfId="3077" headerRowBorderDxfId="3078" tableBorderDxfId="3076" headerRowCellStyle="40% - Accent6">
  <autoFilter ref="A144:D159"/>
  <tableColumns count="4">
    <tableColumn id="1" name="Expense" dataDxfId="3075"/>
    <tableColumn id="2" name="Description" dataDxfId="3074"/>
    <tableColumn id="4" name="Label Name" dataDxfId="3073"/>
    <tableColumn id="5" name="Amount" dataDxfId="3072" dataCellStyle="40% - Accent6"/>
  </tableColumns>
  <tableStyleInfo name="TableStyleLight18" showFirstColumn="0" showLastColumn="0" showRowStripes="1" showColumnStripes="0"/>
</table>
</file>

<file path=xl/tables/table418.xml><?xml version="1.0" encoding="utf-8"?>
<table xmlns="http://schemas.openxmlformats.org/spreadsheetml/2006/main" id="418" name="Grass_53" displayName="Grass_53" ref="A11:D26" totalsRowShown="0" headerRowDxfId="3071" dataDxfId="3069" headerRowBorderDxfId="3070" tableBorderDxfId="3068" headerRowCellStyle="40% - Accent6">
  <autoFilter ref="A11:D26"/>
  <tableColumns count="4">
    <tableColumn id="1" name="Expense" dataDxfId="3067"/>
    <tableColumn id="2" name="Description" dataDxfId="3066"/>
    <tableColumn id="4" name="Label Name" dataDxfId="3065"/>
    <tableColumn id="5" name="Amount" dataDxfId="3064" dataCellStyle="20% - Accent6"/>
  </tableColumns>
  <tableStyleInfo name="TableStyleLight18" showFirstColumn="0" showLastColumn="0" showRowStripes="1" showColumnStripes="0"/>
</table>
</file>

<file path=xl/tables/table419.xml><?xml version="1.0" encoding="utf-8"?>
<table xmlns="http://schemas.openxmlformats.org/spreadsheetml/2006/main" id="419" name="Tree_53" displayName="Tree_53" ref="A30:D45" totalsRowShown="0" headerRowDxfId="3063" dataDxfId="3061" headerRowBorderDxfId="3062" tableBorderDxfId="3060" headerRowCellStyle="40% - Accent6">
  <autoFilter ref="A30:D45"/>
  <tableColumns count="4">
    <tableColumn id="1" name="Expense" dataDxfId="3059"/>
    <tableColumn id="2" name="Description" dataDxfId="3058"/>
    <tableColumn id="4" name="Label Name" dataDxfId="3057"/>
    <tableColumn id="5" name="Amount" dataDxfId="3056" dataCellStyle="40% - Accent6"/>
  </tableColumns>
  <tableStyleInfo name="TableStyleLight18" showFirstColumn="0" showLastColumn="0" showRowStripes="1" showColumnStripes="0"/>
</table>
</file>

<file path=xl/tables/table42.xml><?xml version="1.0" encoding="utf-8"?>
<table xmlns="http://schemas.openxmlformats.org/spreadsheetml/2006/main" id="107" name="Grass_6" displayName="Grass_6" ref="A11:D26" totalsRowShown="0" headerRowDxfId="6079" dataDxfId="6077" headerRowBorderDxfId="6078" tableBorderDxfId="6076" headerRowCellStyle="40% - Accent6">
  <autoFilter ref="A11:D26"/>
  <tableColumns count="4">
    <tableColumn id="1" name="Expense" dataDxfId="6075"/>
    <tableColumn id="2" name="Description" dataDxfId="6074"/>
    <tableColumn id="4" name="Label Name" dataDxfId="6073"/>
    <tableColumn id="5" name="Amount" dataDxfId="6072" dataCellStyle="20% - Accent6"/>
  </tableColumns>
  <tableStyleInfo name="TableStyleLight18" showFirstColumn="0" showLastColumn="0" showRowStripes="1" showColumnStripes="0"/>
</table>
</file>

<file path=xl/tables/table420.xml><?xml version="1.0" encoding="utf-8"?>
<table xmlns="http://schemas.openxmlformats.org/spreadsheetml/2006/main" id="420" name="Pest_53" displayName="Pest_53" ref="A49:D64" totalsRowShown="0" headerRowDxfId="3055" dataDxfId="3053" headerRowBorderDxfId="3054" tableBorderDxfId="3052" headerRowCellStyle="40% - Accent6">
  <autoFilter ref="A49:D64"/>
  <tableColumns count="4">
    <tableColumn id="1" name="Expense" dataDxfId="3051"/>
    <tableColumn id="2" name="Description" dataDxfId="3050"/>
    <tableColumn id="4" name="Label Name" dataDxfId="3049"/>
    <tableColumn id="5" name="Amount" dataDxfId="3048" dataCellStyle="40% - Accent6"/>
  </tableColumns>
  <tableStyleInfo name="TableStyleLight18" showFirstColumn="0" showLastColumn="0" showRowStripes="1" showColumnStripes="0"/>
</table>
</file>

<file path=xl/tables/table421.xml><?xml version="1.0" encoding="utf-8"?>
<table xmlns="http://schemas.openxmlformats.org/spreadsheetml/2006/main" id="421" name="Garbage_53" displayName="Garbage_53" ref="A68:D83" totalsRowShown="0" headerRowDxfId="3047" dataDxfId="3045" headerRowBorderDxfId="3046" tableBorderDxfId="3044" headerRowCellStyle="40% - Accent6">
  <autoFilter ref="A68:D83"/>
  <tableColumns count="4">
    <tableColumn id="1" name="Expense" dataDxfId="3043"/>
    <tableColumn id="2" name="Description" dataDxfId="3042"/>
    <tableColumn id="4" name="Label Name" dataDxfId="3041"/>
    <tableColumn id="5" name="Amount" dataDxfId="3040" dataCellStyle="20% - Accent6"/>
  </tableColumns>
  <tableStyleInfo name="TableStyleLight18" showFirstColumn="0" showLastColumn="0" showRowStripes="1" showColumnStripes="0"/>
</table>
</file>

<file path=xl/tables/table422.xml><?xml version="1.0" encoding="utf-8"?>
<table xmlns="http://schemas.openxmlformats.org/spreadsheetml/2006/main" id="422" name="Boarding_53" displayName="Boarding_53" ref="A87:D102" totalsRowShown="0" headerRowDxfId="3039" dataDxfId="3037" headerRowBorderDxfId="3038" tableBorderDxfId="3036" headerRowCellStyle="40% - Accent6">
  <autoFilter ref="A87:D102"/>
  <tableColumns count="4">
    <tableColumn id="1" name="Expense" dataDxfId="3035"/>
    <tableColumn id="2" name="Description" dataDxfId="3034"/>
    <tableColumn id="4" name="Label Name" dataDxfId="3033"/>
    <tableColumn id="5" name="Amount" dataDxfId="3032" dataCellStyle="40% - Accent6"/>
  </tableColumns>
  <tableStyleInfo name="TableStyleLight18" showFirstColumn="0" showLastColumn="0" showRowStripes="1" showColumnStripes="0"/>
</table>
</file>

<file path=xl/tables/table423.xml><?xml version="1.0" encoding="utf-8"?>
<table xmlns="http://schemas.openxmlformats.org/spreadsheetml/2006/main" id="423" name="Fence_53" displayName="Fence_53" ref="A106:D121" totalsRowShown="0" headerRowDxfId="3031" dataDxfId="3029" headerRowBorderDxfId="3030" tableBorderDxfId="3028" headerRowCellStyle="40% - Accent6">
  <autoFilter ref="A106:D121"/>
  <tableColumns count="4">
    <tableColumn id="1" name="Expense" dataDxfId="3027"/>
    <tableColumn id="2" name="Description" dataDxfId="3026"/>
    <tableColumn id="4" name="Label Name" dataDxfId="3025"/>
    <tableColumn id="5" name="Amount" dataDxfId="3024" dataCellStyle="40% - Accent6"/>
  </tableColumns>
  <tableStyleInfo name="TableStyleLight18" showFirstColumn="0" showLastColumn="0" showRowStripes="1" showColumnStripes="0"/>
</table>
</file>

<file path=xl/tables/table424.xml><?xml version="1.0" encoding="utf-8"?>
<table xmlns="http://schemas.openxmlformats.org/spreadsheetml/2006/main" id="424" name="Demolition_53" displayName="Demolition_53" ref="A125:D140" totalsRowShown="0" headerRowDxfId="3023" dataDxfId="3021" headerRowBorderDxfId="3022" tableBorderDxfId="3020" headerRowCellStyle="40% - Accent6">
  <autoFilter ref="A125:D140"/>
  <tableColumns count="4">
    <tableColumn id="1" name="Expense" dataDxfId="3019"/>
    <tableColumn id="2" name="Description" dataDxfId="3018"/>
    <tableColumn id="4" name="Label Name" dataDxfId="3017"/>
    <tableColumn id="5" name="Amount" dataDxfId="3016" dataCellStyle="40% - Accent6"/>
  </tableColumns>
  <tableStyleInfo name="TableStyleLight18" showFirstColumn="0" showLastColumn="0" showRowStripes="1" showColumnStripes="0"/>
</table>
</file>

<file path=xl/tables/table425.xml><?xml version="1.0" encoding="utf-8"?>
<table xmlns="http://schemas.openxmlformats.org/spreadsheetml/2006/main" id="425" name="Rehab_53" displayName="Rehab_53" ref="A144:D159" totalsRowShown="0" headerRowDxfId="3015" dataDxfId="3013" headerRowBorderDxfId="3014" tableBorderDxfId="3012" headerRowCellStyle="40% - Accent6">
  <autoFilter ref="A144:D159"/>
  <tableColumns count="4">
    <tableColumn id="1" name="Expense" dataDxfId="3011"/>
    <tableColumn id="2" name="Description" dataDxfId="3010"/>
    <tableColumn id="4" name="Label Name" dataDxfId="3009"/>
    <tableColumn id="5" name="Amount" dataDxfId="3008" dataCellStyle="40% - Accent6"/>
  </tableColumns>
  <tableStyleInfo name="TableStyleLight18" showFirstColumn="0" showLastColumn="0" showRowStripes="1" showColumnStripes="0"/>
</table>
</file>

<file path=xl/tables/table426.xml><?xml version="1.0" encoding="utf-8"?>
<table xmlns="http://schemas.openxmlformats.org/spreadsheetml/2006/main" id="426" name="Grass_54" displayName="Grass_54" ref="A11:D26" totalsRowShown="0" headerRowDxfId="3007" dataDxfId="3005" headerRowBorderDxfId="3006" tableBorderDxfId="3004" headerRowCellStyle="40% - Accent6">
  <autoFilter ref="A11:D26"/>
  <tableColumns count="4">
    <tableColumn id="1" name="Expense" dataDxfId="3003"/>
    <tableColumn id="2" name="Description" dataDxfId="3002"/>
    <tableColumn id="4" name="Label Name" dataDxfId="3001"/>
    <tableColumn id="5" name="Amount" dataDxfId="3000" dataCellStyle="20% - Accent6"/>
  </tableColumns>
  <tableStyleInfo name="TableStyleLight18" showFirstColumn="0" showLastColumn="0" showRowStripes="1" showColumnStripes="0"/>
</table>
</file>

<file path=xl/tables/table427.xml><?xml version="1.0" encoding="utf-8"?>
<table xmlns="http://schemas.openxmlformats.org/spreadsheetml/2006/main" id="427" name="Tree_54" displayName="Tree_54" ref="A30:D45" totalsRowShown="0" headerRowDxfId="2999" dataDxfId="2997" headerRowBorderDxfId="2998" tableBorderDxfId="2996" headerRowCellStyle="40% - Accent6">
  <autoFilter ref="A30:D45"/>
  <tableColumns count="4">
    <tableColumn id="1" name="Expense" dataDxfId="2995"/>
    <tableColumn id="2" name="Description" dataDxfId="2994"/>
    <tableColumn id="4" name="Label Name" dataDxfId="2993"/>
    <tableColumn id="5" name="Amount" dataDxfId="2992" dataCellStyle="40% - Accent6"/>
  </tableColumns>
  <tableStyleInfo name="TableStyleLight18" showFirstColumn="0" showLastColumn="0" showRowStripes="1" showColumnStripes="0"/>
</table>
</file>

<file path=xl/tables/table428.xml><?xml version="1.0" encoding="utf-8"?>
<table xmlns="http://schemas.openxmlformats.org/spreadsheetml/2006/main" id="428" name="Pest_54" displayName="Pest_54" ref="A49:D64" totalsRowShown="0" headerRowDxfId="2991" dataDxfId="2989" headerRowBorderDxfId="2990" tableBorderDxfId="2988" headerRowCellStyle="40% - Accent6">
  <autoFilter ref="A49:D64"/>
  <tableColumns count="4">
    <tableColumn id="1" name="Expense" dataDxfId="2987"/>
    <tableColumn id="2" name="Description" dataDxfId="2986"/>
    <tableColumn id="4" name="Label Name" dataDxfId="2985"/>
    <tableColumn id="5" name="Amount" dataDxfId="2984" dataCellStyle="40% - Accent6"/>
  </tableColumns>
  <tableStyleInfo name="TableStyleLight18" showFirstColumn="0" showLastColumn="0" showRowStripes="1" showColumnStripes="0"/>
</table>
</file>

<file path=xl/tables/table429.xml><?xml version="1.0" encoding="utf-8"?>
<table xmlns="http://schemas.openxmlformats.org/spreadsheetml/2006/main" id="429" name="Garbage_54" displayName="Garbage_54" ref="A68:D83" totalsRowShown="0" headerRowDxfId="2983" dataDxfId="2981" headerRowBorderDxfId="2982" tableBorderDxfId="2980" headerRowCellStyle="40% - Accent6">
  <autoFilter ref="A68:D83"/>
  <tableColumns count="4">
    <tableColumn id="1" name="Expense" dataDxfId="2979"/>
    <tableColumn id="2" name="Description" dataDxfId="2978"/>
    <tableColumn id="4" name="Label Name" dataDxfId="2977"/>
    <tableColumn id="5" name="Amount" dataDxfId="2976" dataCellStyle="20% - Accent6"/>
  </tableColumns>
  <tableStyleInfo name="TableStyleLight18" showFirstColumn="0" showLastColumn="0" showRowStripes="1" showColumnStripes="0"/>
</table>
</file>

<file path=xl/tables/table43.xml><?xml version="1.0" encoding="utf-8"?>
<table xmlns="http://schemas.openxmlformats.org/spreadsheetml/2006/main" id="108" name="Tree_6" displayName="Tree_6" ref="A30:D45" totalsRowShown="0" headerRowDxfId="6071" dataDxfId="6069" headerRowBorderDxfId="6070" tableBorderDxfId="6068" headerRowCellStyle="40% - Accent6">
  <autoFilter ref="A30:D45"/>
  <tableColumns count="4">
    <tableColumn id="1" name="Expense" dataDxfId="6067"/>
    <tableColumn id="2" name="Description" dataDxfId="6066"/>
    <tableColumn id="4" name="Label Name" dataDxfId="6065"/>
    <tableColumn id="5" name="Amount" dataDxfId="6064" dataCellStyle="40% - Accent6"/>
  </tableColumns>
  <tableStyleInfo name="TableStyleLight18" showFirstColumn="0" showLastColumn="0" showRowStripes="1" showColumnStripes="0"/>
</table>
</file>

<file path=xl/tables/table430.xml><?xml version="1.0" encoding="utf-8"?>
<table xmlns="http://schemas.openxmlformats.org/spreadsheetml/2006/main" id="430" name="Boarding_54" displayName="Boarding_54" ref="A87:D102" totalsRowShown="0" headerRowDxfId="2975" dataDxfId="2973" headerRowBorderDxfId="2974" tableBorderDxfId="2972" headerRowCellStyle="40% - Accent6">
  <autoFilter ref="A87:D102"/>
  <tableColumns count="4">
    <tableColumn id="1" name="Expense" dataDxfId="2971"/>
    <tableColumn id="2" name="Description" dataDxfId="2970"/>
    <tableColumn id="4" name="Label Name" dataDxfId="2969"/>
    <tableColumn id="5" name="Amount" dataDxfId="2968" dataCellStyle="40% - Accent6"/>
  </tableColumns>
  <tableStyleInfo name="TableStyleLight18" showFirstColumn="0" showLastColumn="0" showRowStripes="1" showColumnStripes="0"/>
</table>
</file>

<file path=xl/tables/table431.xml><?xml version="1.0" encoding="utf-8"?>
<table xmlns="http://schemas.openxmlformats.org/spreadsheetml/2006/main" id="431" name="Fence_54" displayName="Fence_54" ref="A106:D121" totalsRowShown="0" headerRowDxfId="2967" dataDxfId="2965" headerRowBorderDxfId="2966" tableBorderDxfId="2964" headerRowCellStyle="40% - Accent6">
  <autoFilter ref="A106:D121"/>
  <tableColumns count="4">
    <tableColumn id="1" name="Expense" dataDxfId="2963"/>
    <tableColumn id="2" name="Description" dataDxfId="2962"/>
    <tableColumn id="4" name="Label Name" dataDxfId="2961"/>
    <tableColumn id="5" name="Amount" dataDxfId="2960" dataCellStyle="40% - Accent6"/>
  </tableColumns>
  <tableStyleInfo name="TableStyleLight18" showFirstColumn="0" showLastColumn="0" showRowStripes="1" showColumnStripes="0"/>
</table>
</file>

<file path=xl/tables/table432.xml><?xml version="1.0" encoding="utf-8"?>
<table xmlns="http://schemas.openxmlformats.org/spreadsheetml/2006/main" id="432" name="Demolition_54" displayName="Demolition_54" ref="A125:D140" totalsRowShown="0" headerRowDxfId="2959" dataDxfId="2957" headerRowBorderDxfId="2958" tableBorderDxfId="2956" headerRowCellStyle="40% - Accent6">
  <autoFilter ref="A125:D140"/>
  <tableColumns count="4">
    <tableColumn id="1" name="Expense" dataDxfId="2955"/>
    <tableColumn id="2" name="Description" dataDxfId="2954"/>
    <tableColumn id="4" name="Label Name" dataDxfId="2953"/>
    <tableColumn id="5" name="Amount" dataDxfId="2952" dataCellStyle="40% - Accent6"/>
  </tableColumns>
  <tableStyleInfo name="TableStyleLight18" showFirstColumn="0" showLastColumn="0" showRowStripes="1" showColumnStripes="0"/>
</table>
</file>

<file path=xl/tables/table433.xml><?xml version="1.0" encoding="utf-8"?>
<table xmlns="http://schemas.openxmlformats.org/spreadsheetml/2006/main" id="433" name="Rehab_54" displayName="Rehab_54" ref="A144:D159" totalsRowShown="0" headerRowDxfId="2951" dataDxfId="2949" headerRowBorderDxfId="2950" tableBorderDxfId="2948" headerRowCellStyle="40% - Accent6">
  <autoFilter ref="A144:D159"/>
  <tableColumns count="4">
    <tableColumn id="1" name="Expense" dataDxfId="2947"/>
    <tableColumn id="2" name="Description" dataDxfId="2946"/>
    <tableColumn id="4" name="Label Name" dataDxfId="2945"/>
    <tableColumn id="5" name="Amount" dataDxfId="2944" dataCellStyle="40% - Accent6"/>
  </tableColumns>
  <tableStyleInfo name="TableStyleLight18" showFirstColumn="0" showLastColumn="0" showRowStripes="1" showColumnStripes="0"/>
</table>
</file>

<file path=xl/tables/table434.xml><?xml version="1.0" encoding="utf-8"?>
<table xmlns="http://schemas.openxmlformats.org/spreadsheetml/2006/main" id="434" name="Grass_55" displayName="Grass_55" ref="A11:D26" totalsRowShown="0" headerRowDxfId="2943" dataDxfId="2941" headerRowBorderDxfId="2942" tableBorderDxfId="2940" headerRowCellStyle="40% - Accent6">
  <autoFilter ref="A11:D26"/>
  <tableColumns count="4">
    <tableColumn id="1" name="Expense" dataDxfId="2939"/>
    <tableColumn id="2" name="Description" dataDxfId="2938"/>
    <tableColumn id="4" name="Label Name" dataDxfId="2937"/>
    <tableColumn id="5" name="Amount" dataDxfId="2936" dataCellStyle="20% - Accent6"/>
  </tableColumns>
  <tableStyleInfo name="TableStyleLight18" showFirstColumn="0" showLastColumn="0" showRowStripes="1" showColumnStripes="0"/>
</table>
</file>

<file path=xl/tables/table435.xml><?xml version="1.0" encoding="utf-8"?>
<table xmlns="http://schemas.openxmlformats.org/spreadsheetml/2006/main" id="435" name="Tree_55" displayName="Tree_55" ref="A30:D45" totalsRowShown="0" headerRowDxfId="2935" dataDxfId="2933" headerRowBorderDxfId="2934" tableBorderDxfId="2932" headerRowCellStyle="40% - Accent6">
  <autoFilter ref="A30:D45"/>
  <tableColumns count="4">
    <tableColumn id="1" name="Expense" dataDxfId="2931"/>
    <tableColumn id="2" name="Description" dataDxfId="2930"/>
    <tableColumn id="4" name="Label Name" dataDxfId="2929"/>
    <tableColumn id="5" name="Amount" dataDxfId="2928" dataCellStyle="40% - Accent6"/>
  </tableColumns>
  <tableStyleInfo name="TableStyleLight18" showFirstColumn="0" showLastColumn="0" showRowStripes="1" showColumnStripes="0"/>
</table>
</file>

<file path=xl/tables/table436.xml><?xml version="1.0" encoding="utf-8"?>
<table xmlns="http://schemas.openxmlformats.org/spreadsheetml/2006/main" id="436" name="Pest_55" displayName="Pest_55" ref="A49:D64" totalsRowShown="0" headerRowDxfId="2927" dataDxfId="2925" headerRowBorderDxfId="2926" tableBorderDxfId="2924" headerRowCellStyle="40% - Accent6">
  <autoFilter ref="A49:D64"/>
  <tableColumns count="4">
    <tableColumn id="1" name="Expense" dataDxfId="2923"/>
    <tableColumn id="2" name="Description" dataDxfId="2922"/>
    <tableColumn id="4" name="Label Name" dataDxfId="2921"/>
    <tableColumn id="5" name="Amount" dataDxfId="2920" dataCellStyle="40% - Accent6"/>
  </tableColumns>
  <tableStyleInfo name="TableStyleLight18" showFirstColumn="0" showLastColumn="0" showRowStripes="1" showColumnStripes="0"/>
</table>
</file>

<file path=xl/tables/table437.xml><?xml version="1.0" encoding="utf-8"?>
<table xmlns="http://schemas.openxmlformats.org/spreadsheetml/2006/main" id="437" name="Garbage_55" displayName="Garbage_55" ref="A68:D83" totalsRowShown="0" headerRowDxfId="2919" dataDxfId="2917" headerRowBorderDxfId="2918" tableBorderDxfId="2916" headerRowCellStyle="40% - Accent6">
  <autoFilter ref="A68:D83"/>
  <tableColumns count="4">
    <tableColumn id="1" name="Expense" dataDxfId="2915"/>
    <tableColumn id="2" name="Description" dataDxfId="2914"/>
    <tableColumn id="4" name="Label Name" dataDxfId="2913"/>
    <tableColumn id="5" name="Amount" dataDxfId="2912" dataCellStyle="20% - Accent6"/>
  </tableColumns>
  <tableStyleInfo name="TableStyleLight18" showFirstColumn="0" showLastColumn="0" showRowStripes="1" showColumnStripes="0"/>
</table>
</file>

<file path=xl/tables/table438.xml><?xml version="1.0" encoding="utf-8"?>
<table xmlns="http://schemas.openxmlformats.org/spreadsheetml/2006/main" id="438" name="Boarding_55" displayName="Boarding_55" ref="A87:D102" totalsRowShown="0" headerRowDxfId="2911" dataDxfId="2909" headerRowBorderDxfId="2910" tableBorderDxfId="2908" headerRowCellStyle="40% - Accent6">
  <autoFilter ref="A87:D102"/>
  <tableColumns count="4">
    <tableColumn id="1" name="Expense" dataDxfId="2907"/>
    <tableColumn id="2" name="Description" dataDxfId="2906"/>
    <tableColumn id="4" name="Label Name" dataDxfId="2905"/>
    <tableColumn id="5" name="Amount" dataDxfId="2904" dataCellStyle="40% - Accent6"/>
  </tableColumns>
  <tableStyleInfo name="TableStyleLight18" showFirstColumn="0" showLastColumn="0" showRowStripes="1" showColumnStripes="0"/>
</table>
</file>

<file path=xl/tables/table439.xml><?xml version="1.0" encoding="utf-8"?>
<table xmlns="http://schemas.openxmlformats.org/spreadsheetml/2006/main" id="439" name="Fence_55" displayName="Fence_55" ref="A106:D121" totalsRowShown="0" headerRowDxfId="2903" dataDxfId="2901" headerRowBorderDxfId="2902" tableBorderDxfId="2900" headerRowCellStyle="40% - Accent6">
  <autoFilter ref="A106:D121"/>
  <tableColumns count="4">
    <tableColumn id="1" name="Expense" dataDxfId="2899"/>
    <tableColumn id="2" name="Description" dataDxfId="2898"/>
    <tableColumn id="4" name="Label Name" dataDxfId="2897"/>
    <tableColumn id="5" name="Amount" dataDxfId="2896" dataCellStyle="40% - Accent6"/>
  </tableColumns>
  <tableStyleInfo name="TableStyleLight18" showFirstColumn="0" showLastColumn="0" showRowStripes="1" showColumnStripes="0"/>
</table>
</file>

<file path=xl/tables/table44.xml><?xml version="1.0" encoding="utf-8"?>
<table xmlns="http://schemas.openxmlformats.org/spreadsheetml/2006/main" id="109" name="Pest_6" displayName="Pest_6" ref="A49:D64" totalsRowShown="0" headerRowDxfId="6063" dataDxfId="6061" headerRowBorderDxfId="6062" tableBorderDxfId="6060" headerRowCellStyle="40% - Accent6">
  <autoFilter ref="A49:D64"/>
  <tableColumns count="4">
    <tableColumn id="1" name="Expense" dataDxfId="6059"/>
    <tableColumn id="2" name="Description" dataDxfId="6058"/>
    <tableColumn id="4" name="Label Name" dataDxfId="6057"/>
    <tableColumn id="5" name="Amount" dataDxfId="6056" dataCellStyle="40% - Accent6"/>
  </tableColumns>
  <tableStyleInfo name="TableStyleLight18" showFirstColumn="0" showLastColumn="0" showRowStripes="1" showColumnStripes="0"/>
</table>
</file>

<file path=xl/tables/table440.xml><?xml version="1.0" encoding="utf-8"?>
<table xmlns="http://schemas.openxmlformats.org/spreadsheetml/2006/main" id="440" name="Demolition_55" displayName="Demolition_55" ref="A125:D140" totalsRowShown="0" headerRowDxfId="2895" dataDxfId="2893" headerRowBorderDxfId="2894" tableBorderDxfId="2892" headerRowCellStyle="40% - Accent6">
  <autoFilter ref="A125:D140"/>
  <tableColumns count="4">
    <tableColumn id="1" name="Expense" dataDxfId="2891"/>
    <tableColumn id="2" name="Description" dataDxfId="2890"/>
    <tableColumn id="4" name="Label Name" dataDxfId="2889"/>
    <tableColumn id="5" name="Amount" dataDxfId="2888" dataCellStyle="40% - Accent6"/>
  </tableColumns>
  <tableStyleInfo name="TableStyleLight18" showFirstColumn="0" showLastColumn="0" showRowStripes="1" showColumnStripes="0"/>
</table>
</file>

<file path=xl/tables/table441.xml><?xml version="1.0" encoding="utf-8"?>
<table xmlns="http://schemas.openxmlformats.org/spreadsheetml/2006/main" id="441" name="Rehab_55" displayName="Rehab_55" ref="A144:D159" totalsRowShown="0" headerRowDxfId="2887" dataDxfId="2885" headerRowBorderDxfId="2886" tableBorderDxfId="2884" headerRowCellStyle="40% - Accent6">
  <autoFilter ref="A144:D159"/>
  <tableColumns count="4">
    <tableColumn id="1" name="Expense" dataDxfId="2883"/>
    <tableColumn id="2" name="Description" dataDxfId="2882"/>
    <tableColumn id="4" name="Label Name" dataDxfId="2881"/>
    <tableColumn id="5" name="Amount" dataDxfId="2880" dataCellStyle="40% - Accent6"/>
  </tableColumns>
  <tableStyleInfo name="TableStyleLight18" showFirstColumn="0" showLastColumn="0" showRowStripes="1" showColumnStripes="0"/>
</table>
</file>

<file path=xl/tables/table442.xml><?xml version="1.0" encoding="utf-8"?>
<table xmlns="http://schemas.openxmlformats.org/spreadsheetml/2006/main" id="442" name="Grass_56" displayName="Grass_56" ref="A11:D26" totalsRowShown="0" headerRowDxfId="2879" dataDxfId="2877" headerRowBorderDxfId="2878" tableBorderDxfId="2876" headerRowCellStyle="40% - Accent6">
  <autoFilter ref="A11:D26"/>
  <tableColumns count="4">
    <tableColumn id="1" name="Expense" dataDxfId="2875"/>
    <tableColumn id="2" name="Description" dataDxfId="2874"/>
    <tableColumn id="4" name="Label Name" dataDxfId="2873"/>
    <tableColumn id="5" name="Amount" dataDxfId="2872" dataCellStyle="20% - Accent6"/>
  </tableColumns>
  <tableStyleInfo name="TableStyleLight18" showFirstColumn="0" showLastColumn="0" showRowStripes="1" showColumnStripes="0"/>
</table>
</file>

<file path=xl/tables/table443.xml><?xml version="1.0" encoding="utf-8"?>
<table xmlns="http://schemas.openxmlformats.org/spreadsheetml/2006/main" id="443" name="Tree_56" displayName="Tree_56" ref="A30:D45" totalsRowShown="0" headerRowDxfId="2871" dataDxfId="2869" headerRowBorderDxfId="2870" tableBorderDxfId="2868" headerRowCellStyle="40% - Accent6">
  <autoFilter ref="A30:D45"/>
  <tableColumns count="4">
    <tableColumn id="1" name="Expense" dataDxfId="2867"/>
    <tableColumn id="2" name="Description" dataDxfId="2866"/>
    <tableColumn id="4" name="Label Name" dataDxfId="2865"/>
    <tableColumn id="5" name="Amount" dataDxfId="2864" dataCellStyle="40% - Accent6"/>
  </tableColumns>
  <tableStyleInfo name="TableStyleLight18" showFirstColumn="0" showLastColumn="0" showRowStripes="1" showColumnStripes="0"/>
</table>
</file>

<file path=xl/tables/table444.xml><?xml version="1.0" encoding="utf-8"?>
<table xmlns="http://schemas.openxmlformats.org/spreadsheetml/2006/main" id="444" name="Pest_56" displayName="Pest_56" ref="A49:D64" totalsRowShown="0" headerRowDxfId="2863" dataDxfId="2861" headerRowBorderDxfId="2862" tableBorderDxfId="2860" headerRowCellStyle="40% - Accent6">
  <autoFilter ref="A49:D64"/>
  <tableColumns count="4">
    <tableColumn id="1" name="Expense" dataDxfId="2859"/>
    <tableColumn id="2" name="Description" dataDxfId="2858"/>
    <tableColumn id="4" name="Label Name" dataDxfId="2857"/>
    <tableColumn id="5" name="Amount" dataDxfId="2856" dataCellStyle="40% - Accent6"/>
  </tableColumns>
  <tableStyleInfo name="TableStyleLight18" showFirstColumn="0" showLastColumn="0" showRowStripes="1" showColumnStripes="0"/>
</table>
</file>

<file path=xl/tables/table445.xml><?xml version="1.0" encoding="utf-8"?>
<table xmlns="http://schemas.openxmlformats.org/spreadsheetml/2006/main" id="445" name="Garbage_56" displayName="Garbage_56" ref="A68:D83" totalsRowShown="0" headerRowDxfId="2855" dataDxfId="2853" headerRowBorderDxfId="2854" tableBorderDxfId="2852" headerRowCellStyle="40% - Accent6">
  <autoFilter ref="A68:D83"/>
  <tableColumns count="4">
    <tableColumn id="1" name="Expense" dataDxfId="2851"/>
    <tableColumn id="2" name="Description" dataDxfId="2850"/>
    <tableColumn id="4" name="Label Name" dataDxfId="2849"/>
    <tableColumn id="5" name="Amount" dataDxfId="2848" dataCellStyle="20% - Accent6"/>
  </tableColumns>
  <tableStyleInfo name="TableStyleLight18" showFirstColumn="0" showLastColumn="0" showRowStripes="1" showColumnStripes="0"/>
</table>
</file>

<file path=xl/tables/table446.xml><?xml version="1.0" encoding="utf-8"?>
<table xmlns="http://schemas.openxmlformats.org/spreadsheetml/2006/main" id="446" name="Boarding_56" displayName="Boarding_56" ref="A87:D102" totalsRowShown="0" headerRowDxfId="2847" dataDxfId="2845" headerRowBorderDxfId="2846" tableBorderDxfId="2844" headerRowCellStyle="40% - Accent6">
  <autoFilter ref="A87:D102"/>
  <tableColumns count="4">
    <tableColumn id="1" name="Expense" dataDxfId="2843"/>
    <tableColumn id="2" name="Description" dataDxfId="2842"/>
    <tableColumn id="4" name="Label Name" dataDxfId="2841"/>
    <tableColumn id="5" name="Amount" dataDxfId="2840" dataCellStyle="40% - Accent6"/>
  </tableColumns>
  <tableStyleInfo name="TableStyleLight18" showFirstColumn="0" showLastColumn="0" showRowStripes="1" showColumnStripes="0"/>
</table>
</file>

<file path=xl/tables/table447.xml><?xml version="1.0" encoding="utf-8"?>
<table xmlns="http://schemas.openxmlformats.org/spreadsheetml/2006/main" id="447" name="Fence_56" displayName="Fence_56" ref="A106:D121" totalsRowShown="0" headerRowDxfId="2839" dataDxfId="2837" headerRowBorderDxfId="2838" tableBorderDxfId="2836" headerRowCellStyle="40% - Accent6">
  <autoFilter ref="A106:D121"/>
  <tableColumns count="4">
    <tableColumn id="1" name="Expense" dataDxfId="2835"/>
    <tableColumn id="2" name="Description" dataDxfId="2834"/>
    <tableColumn id="4" name="Label Name" dataDxfId="2833"/>
    <tableColumn id="5" name="Amount" dataDxfId="2832" dataCellStyle="40% - Accent6"/>
  </tableColumns>
  <tableStyleInfo name="TableStyleLight18" showFirstColumn="0" showLastColumn="0" showRowStripes="1" showColumnStripes="0"/>
</table>
</file>

<file path=xl/tables/table448.xml><?xml version="1.0" encoding="utf-8"?>
<table xmlns="http://schemas.openxmlformats.org/spreadsheetml/2006/main" id="448" name="Demolition_56" displayName="Demolition_56" ref="A125:D140" totalsRowShown="0" headerRowDxfId="2831" dataDxfId="2829" headerRowBorderDxfId="2830" tableBorderDxfId="2828" headerRowCellStyle="40% - Accent6">
  <autoFilter ref="A125:D140"/>
  <tableColumns count="4">
    <tableColumn id="1" name="Expense" dataDxfId="2827"/>
    <tableColumn id="2" name="Description" dataDxfId="2826"/>
    <tableColumn id="4" name="Label Name" dataDxfId="2825"/>
    <tableColumn id="5" name="Amount" dataDxfId="2824" dataCellStyle="40% - Accent6"/>
  </tableColumns>
  <tableStyleInfo name="TableStyleLight18" showFirstColumn="0" showLastColumn="0" showRowStripes="1" showColumnStripes="0"/>
</table>
</file>

<file path=xl/tables/table449.xml><?xml version="1.0" encoding="utf-8"?>
<table xmlns="http://schemas.openxmlformats.org/spreadsheetml/2006/main" id="449" name="Rehab_56" displayName="Rehab_56" ref="A144:D159" totalsRowShown="0" headerRowDxfId="2823" dataDxfId="2821" headerRowBorderDxfId="2822" tableBorderDxfId="2820" headerRowCellStyle="40% - Accent6">
  <autoFilter ref="A144:D159"/>
  <tableColumns count="4">
    <tableColumn id="1" name="Expense" dataDxfId="2819"/>
    <tableColumn id="2" name="Description" dataDxfId="2818"/>
    <tableColumn id="4" name="Label Name" dataDxfId="2817"/>
    <tableColumn id="5" name="Amount" dataDxfId="2816" dataCellStyle="40% - Accent6"/>
  </tableColumns>
  <tableStyleInfo name="TableStyleLight18" showFirstColumn="0" showLastColumn="0" showRowStripes="1" showColumnStripes="0"/>
</table>
</file>

<file path=xl/tables/table45.xml><?xml version="1.0" encoding="utf-8"?>
<table xmlns="http://schemas.openxmlformats.org/spreadsheetml/2006/main" id="110" name="Garbage_6" displayName="Garbage_6" ref="A68:D83" totalsRowShown="0" headerRowDxfId="6055" dataDxfId="6053" headerRowBorderDxfId="6054" tableBorderDxfId="6052" headerRowCellStyle="40% - Accent6">
  <autoFilter ref="A68:D83"/>
  <tableColumns count="4">
    <tableColumn id="1" name="Expense" dataDxfId="6051"/>
    <tableColumn id="2" name="Description" dataDxfId="6050"/>
    <tableColumn id="4" name="Label Name" dataDxfId="6049"/>
    <tableColumn id="5" name="Amount" dataDxfId="6048" dataCellStyle="20% - Accent6"/>
  </tableColumns>
  <tableStyleInfo name="TableStyleLight18" showFirstColumn="0" showLastColumn="0" showRowStripes="1" showColumnStripes="0"/>
</table>
</file>

<file path=xl/tables/table450.xml><?xml version="1.0" encoding="utf-8"?>
<table xmlns="http://schemas.openxmlformats.org/spreadsheetml/2006/main" id="450" name="Grass_57" displayName="Grass_57" ref="A11:D26" totalsRowShown="0" headerRowDxfId="2815" dataDxfId="2813" headerRowBorderDxfId="2814" tableBorderDxfId="2812" headerRowCellStyle="40% - Accent6">
  <autoFilter ref="A11:D26"/>
  <tableColumns count="4">
    <tableColumn id="1" name="Expense" dataDxfId="2811"/>
    <tableColumn id="2" name="Description" dataDxfId="2810"/>
    <tableColumn id="4" name="Label Name" dataDxfId="2809"/>
    <tableColumn id="5" name="Amount" dataDxfId="2808" dataCellStyle="20% - Accent6"/>
  </tableColumns>
  <tableStyleInfo name="TableStyleLight18" showFirstColumn="0" showLastColumn="0" showRowStripes="1" showColumnStripes="0"/>
</table>
</file>

<file path=xl/tables/table451.xml><?xml version="1.0" encoding="utf-8"?>
<table xmlns="http://schemas.openxmlformats.org/spreadsheetml/2006/main" id="451" name="Tree_57" displayName="Tree_57" ref="A30:D45" totalsRowShown="0" headerRowDxfId="2807" dataDxfId="2805" headerRowBorderDxfId="2806" tableBorderDxfId="2804" headerRowCellStyle="40% - Accent6">
  <autoFilter ref="A30:D45"/>
  <tableColumns count="4">
    <tableColumn id="1" name="Expense" dataDxfId="2803"/>
    <tableColumn id="2" name="Description" dataDxfId="2802"/>
    <tableColumn id="4" name="Label Name" dataDxfId="2801"/>
    <tableColumn id="5" name="Amount" dataDxfId="2800" dataCellStyle="40% - Accent6"/>
  </tableColumns>
  <tableStyleInfo name="TableStyleLight18" showFirstColumn="0" showLastColumn="0" showRowStripes="1" showColumnStripes="0"/>
</table>
</file>

<file path=xl/tables/table452.xml><?xml version="1.0" encoding="utf-8"?>
<table xmlns="http://schemas.openxmlformats.org/spreadsheetml/2006/main" id="452" name="Pest_57" displayName="Pest_57" ref="A49:D64" totalsRowShown="0" headerRowDxfId="2799" dataDxfId="2797" headerRowBorderDxfId="2798" tableBorderDxfId="2796" headerRowCellStyle="40% - Accent6">
  <autoFilter ref="A49:D64"/>
  <tableColumns count="4">
    <tableColumn id="1" name="Expense" dataDxfId="2795"/>
    <tableColumn id="2" name="Description" dataDxfId="2794"/>
    <tableColumn id="4" name="Label Name" dataDxfId="2793"/>
    <tableColumn id="5" name="Amount" dataDxfId="2792" dataCellStyle="40% - Accent6"/>
  </tableColumns>
  <tableStyleInfo name="TableStyleLight18" showFirstColumn="0" showLastColumn="0" showRowStripes="1" showColumnStripes="0"/>
</table>
</file>

<file path=xl/tables/table453.xml><?xml version="1.0" encoding="utf-8"?>
<table xmlns="http://schemas.openxmlformats.org/spreadsheetml/2006/main" id="453" name="Garbage_57" displayName="Garbage_57" ref="A68:D83" totalsRowShown="0" headerRowDxfId="2791" dataDxfId="2789" headerRowBorderDxfId="2790" tableBorderDxfId="2788" headerRowCellStyle="40% - Accent6">
  <autoFilter ref="A68:D83"/>
  <tableColumns count="4">
    <tableColumn id="1" name="Expense" dataDxfId="2787"/>
    <tableColumn id="2" name="Description" dataDxfId="2786"/>
    <tableColumn id="4" name="Label Name" dataDxfId="2785"/>
    <tableColumn id="5" name="Amount" dataDxfId="2784" dataCellStyle="20% - Accent6"/>
  </tableColumns>
  <tableStyleInfo name="TableStyleLight18" showFirstColumn="0" showLastColumn="0" showRowStripes="1" showColumnStripes="0"/>
</table>
</file>

<file path=xl/tables/table454.xml><?xml version="1.0" encoding="utf-8"?>
<table xmlns="http://schemas.openxmlformats.org/spreadsheetml/2006/main" id="454" name="Boarding_57" displayName="Boarding_57" ref="A87:D102" totalsRowShown="0" headerRowDxfId="2783" dataDxfId="2781" headerRowBorderDxfId="2782" tableBorderDxfId="2780" headerRowCellStyle="40% - Accent6">
  <autoFilter ref="A87:D102"/>
  <tableColumns count="4">
    <tableColumn id="1" name="Expense" dataDxfId="2779"/>
    <tableColumn id="2" name="Description" dataDxfId="2778"/>
    <tableColumn id="4" name="Label Name" dataDxfId="2777"/>
    <tableColumn id="5" name="Amount" dataDxfId="2776" dataCellStyle="40% - Accent6"/>
  </tableColumns>
  <tableStyleInfo name="TableStyleLight18" showFirstColumn="0" showLastColumn="0" showRowStripes="1" showColumnStripes="0"/>
</table>
</file>

<file path=xl/tables/table455.xml><?xml version="1.0" encoding="utf-8"?>
<table xmlns="http://schemas.openxmlformats.org/spreadsheetml/2006/main" id="455" name="Fence_57" displayName="Fence_57" ref="A106:D121" totalsRowShown="0" headerRowDxfId="2775" dataDxfId="2773" headerRowBorderDxfId="2774" tableBorderDxfId="2772" headerRowCellStyle="40% - Accent6">
  <autoFilter ref="A106:D121"/>
  <tableColumns count="4">
    <tableColumn id="1" name="Expense" dataDxfId="2771"/>
    <tableColumn id="2" name="Description" dataDxfId="2770"/>
    <tableColumn id="4" name="Label Name" dataDxfId="2769"/>
    <tableColumn id="5" name="Amount" dataDxfId="2768" dataCellStyle="40% - Accent6"/>
  </tableColumns>
  <tableStyleInfo name="TableStyleLight18" showFirstColumn="0" showLastColumn="0" showRowStripes="1" showColumnStripes="0"/>
</table>
</file>

<file path=xl/tables/table456.xml><?xml version="1.0" encoding="utf-8"?>
<table xmlns="http://schemas.openxmlformats.org/spreadsheetml/2006/main" id="456" name="Demolition_57" displayName="Demolition_57" ref="A125:D140" totalsRowShown="0" headerRowDxfId="2767" dataDxfId="2765" headerRowBorderDxfId="2766" tableBorderDxfId="2764" headerRowCellStyle="40% - Accent6">
  <autoFilter ref="A125:D140"/>
  <tableColumns count="4">
    <tableColumn id="1" name="Expense" dataDxfId="2763"/>
    <tableColumn id="2" name="Description" dataDxfId="2762"/>
    <tableColumn id="4" name="Label Name" dataDxfId="2761"/>
    <tableColumn id="5" name="Amount" dataDxfId="2760" dataCellStyle="40% - Accent6"/>
  </tableColumns>
  <tableStyleInfo name="TableStyleLight18" showFirstColumn="0" showLastColumn="0" showRowStripes="1" showColumnStripes="0"/>
</table>
</file>

<file path=xl/tables/table457.xml><?xml version="1.0" encoding="utf-8"?>
<table xmlns="http://schemas.openxmlformats.org/spreadsheetml/2006/main" id="457" name="Rehab_57" displayName="Rehab_57" ref="A144:D159" totalsRowShown="0" headerRowDxfId="2759" dataDxfId="2757" headerRowBorderDxfId="2758" tableBorderDxfId="2756" headerRowCellStyle="40% - Accent6">
  <autoFilter ref="A144:D159"/>
  <tableColumns count="4">
    <tableColumn id="1" name="Expense" dataDxfId="2755"/>
    <tableColumn id="2" name="Description" dataDxfId="2754"/>
    <tableColumn id="4" name="Label Name" dataDxfId="2753"/>
    <tableColumn id="5" name="Amount" dataDxfId="2752" dataCellStyle="40% - Accent6"/>
  </tableColumns>
  <tableStyleInfo name="TableStyleLight18" showFirstColumn="0" showLastColumn="0" showRowStripes="1" showColumnStripes="0"/>
</table>
</file>

<file path=xl/tables/table458.xml><?xml version="1.0" encoding="utf-8"?>
<table xmlns="http://schemas.openxmlformats.org/spreadsheetml/2006/main" id="466" name="Grass_58" displayName="Grass_58" ref="A11:D26" totalsRowShown="0" headerRowDxfId="2751" dataDxfId="2749" headerRowBorderDxfId="2750" tableBorderDxfId="2748" headerRowCellStyle="40% - Accent6">
  <autoFilter ref="A11:D26"/>
  <tableColumns count="4">
    <tableColumn id="1" name="Expense" dataDxfId="2747"/>
    <tableColumn id="2" name="Description" dataDxfId="2746"/>
    <tableColumn id="4" name="Label Name" dataDxfId="2745"/>
    <tableColumn id="5" name="Amount" dataDxfId="2744" dataCellStyle="20% - Accent6"/>
  </tableColumns>
  <tableStyleInfo name="TableStyleLight18" showFirstColumn="0" showLastColumn="0" showRowStripes="1" showColumnStripes="0"/>
</table>
</file>

<file path=xl/tables/table459.xml><?xml version="1.0" encoding="utf-8"?>
<table xmlns="http://schemas.openxmlformats.org/spreadsheetml/2006/main" id="467" name="Tree_58" displayName="Tree_58" ref="A30:D45" totalsRowShown="0" headerRowDxfId="2743" dataDxfId="2741" headerRowBorderDxfId="2742" tableBorderDxfId="2740" headerRowCellStyle="40% - Accent6">
  <autoFilter ref="A30:D45"/>
  <tableColumns count="4">
    <tableColumn id="1" name="Expense" dataDxfId="2739"/>
    <tableColumn id="2" name="Description" dataDxfId="2738"/>
    <tableColumn id="4" name="Label Name" dataDxfId="2737"/>
    <tableColumn id="5" name="Amount" dataDxfId="2736" dataCellStyle="40% - Accent6"/>
  </tableColumns>
  <tableStyleInfo name="TableStyleLight18" showFirstColumn="0" showLastColumn="0" showRowStripes="1" showColumnStripes="0"/>
</table>
</file>

<file path=xl/tables/table46.xml><?xml version="1.0" encoding="utf-8"?>
<table xmlns="http://schemas.openxmlformats.org/spreadsheetml/2006/main" id="111" name="Boarding_6" displayName="Boarding_6" ref="A87:D102" totalsRowShown="0" headerRowDxfId="6047" dataDxfId="6045" headerRowBorderDxfId="6046" tableBorderDxfId="6044" headerRowCellStyle="40% - Accent6">
  <autoFilter ref="A87:D102"/>
  <tableColumns count="4">
    <tableColumn id="1" name="Expense" dataDxfId="6043"/>
    <tableColumn id="2" name="Description" dataDxfId="6042"/>
    <tableColumn id="4" name="Label Name" dataDxfId="6041"/>
    <tableColumn id="5" name="Amount" dataDxfId="6040" dataCellStyle="40% - Accent6"/>
  </tableColumns>
  <tableStyleInfo name="TableStyleLight18" showFirstColumn="0" showLastColumn="0" showRowStripes="1" showColumnStripes="0"/>
</table>
</file>

<file path=xl/tables/table460.xml><?xml version="1.0" encoding="utf-8"?>
<table xmlns="http://schemas.openxmlformats.org/spreadsheetml/2006/main" id="468" name="Pest_58" displayName="Pest_58" ref="A49:D64" totalsRowShown="0" headerRowDxfId="2735" dataDxfId="2733" headerRowBorderDxfId="2734" tableBorderDxfId="2732" headerRowCellStyle="40% - Accent6">
  <autoFilter ref="A49:D64"/>
  <tableColumns count="4">
    <tableColumn id="1" name="Expense" dataDxfId="2731"/>
    <tableColumn id="2" name="Description" dataDxfId="2730"/>
    <tableColumn id="4" name="Label Name" dataDxfId="2729"/>
    <tableColumn id="5" name="Amount" dataDxfId="2728" dataCellStyle="40% - Accent6"/>
  </tableColumns>
  <tableStyleInfo name="TableStyleLight18" showFirstColumn="0" showLastColumn="0" showRowStripes="1" showColumnStripes="0"/>
</table>
</file>

<file path=xl/tables/table461.xml><?xml version="1.0" encoding="utf-8"?>
<table xmlns="http://schemas.openxmlformats.org/spreadsheetml/2006/main" id="469" name="Garbage_58" displayName="Garbage_58" ref="A68:D83" totalsRowShown="0" headerRowDxfId="2727" dataDxfId="2725" headerRowBorderDxfId="2726" tableBorderDxfId="2724" headerRowCellStyle="40% - Accent6">
  <autoFilter ref="A68:D83"/>
  <tableColumns count="4">
    <tableColumn id="1" name="Expense" dataDxfId="2723"/>
    <tableColumn id="2" name="Description" dataDxfId="2722"/>
    <tableColumn id="4" name="Label Name" dataDxfId="2721"/>
    <tableColumn id="5" name="Amount" dataDxfId="2720" dataCellStyle="20% - Accent6"/>
  </tableColumns>
  <tableStyleInfo name="TableStyleLight18" showFirstColumn="0" showLastColumn="0" showRowStripes="1" showColumnStripes="0"/>
</table>
</file>

<file path=xl/tables/table462.xml><?xml version="1.0" encoding="utf-8"?>
<table xmlns="http://schemas.openxmlformats.org/spreadsheetml/2006/main" id="470" name="Boarding_58" displayName="Boarding_58" ref="A87:D102" totalsRowShown="0" headerRowDxfId="2719" dataDxfId="2717" headerRowBorderDxfId="2718" tableBorderDxfId="2716" headerRowCellStyle="40% - Accent6">
  <autoFilter ref="A87:D102"/>
  <tableColumns count="4">
    <tableColumn id="1" name="Expense" dataDxfId="2715"/>
    <tableColumn id="2" name="Description" dataDxfId="2714"/>
    <tableColumn id="4" name="Label Name" dataDxfId="2713"/>
    <tableColumn id="5" name="Amount" dataDxfId="2712" dataCellStyle="40% - Accent6"/>
  </tableColumns>
  <tableStyleInfo name="TableStyleLight18" showFirstColumn="0" showLastColumn="0" showRowStripes="1" showColumnStripes="0"/>
</table>
</file>

<file path=xl/tables/table463.xml><?xml version="1.0" encoding="utf-8"?>
<table xmlns="http://schemas.openxmlformats.org/spreadsheetml/2006/main" id="471" name="Fence_58" displayName="Fence_58" ref="A106:D121" totalsRowShown="0" headerRowDxfId="2711" dataDxfId="2709" headerRowBorderDxfId="2710" tableBorderDxfId="2708" headerRowCellStyle="40% - Accent6">
  <autoFilter ref="A106:D121"/>
  <tableColumns count="4">
    <tableColumn id="1" name="Expense" dataDxfId="2707"/>
    <tableColumn id="2" name="Description" dataDxfId="2706"/>
    <tableColumn id="4" name="Label Name" dataDxfId="2705"/>
    <tableColumn id="5" name="Amount" dataDxfId="2704" dataCellStyle="40% - Accent6"/>
  </tableColumns>
  <tableStyleInfo name="TableStyleLight18" showFirstColumn="0" showLastColumn="0" showRowStripes="1" showColumnStripes="0"/>
</table>
</file>

<file path=xl/tables/table464.xml><?xml version="1.0" encoding="utf-8"?>
<table xmlns="http://schemas.openxmlformats.org/spreadsheetml/2006/main" id="472" name="Demolition_58" displayName="Demolition_58" ref="A125:D140" totalsRowShown="0" headerRowDxfId="2703" dataDxfId="2701" headerRowBorderDxfId="2702" tableBorderDxfId="2700" headerRowCellStyle="40% - Accent6">
  <autoFilter ref="A125:D140"/>
  <tableColumns count="4">
    <tableColumn id="1" name="Expense" dataDxfId="2699"/>
    <tableColumn id="2" name="Description" dataDxfId="2698"/>
    <tableColumn id="4" name="Label Name" dataDxfId="2697"/>
    <tableColumn id="5" name="Amount" dataDxfId="2696" dataCellStyle="40% - Accent6"/>
  </tableColumns>
  <tableStyleInfo name="TableStyleLight18" showFirstColumn="0" showLastColumn="0" showRowStripes="1" showColumnStripes="0"/>
</table>
</file>

<file path=xl/tables/table465.xml><?xml version="1.0" encoding="utf-8"?>
<table xmlns="http://schemas.openxmlformats.org/spreadsheetml/2006/main" id="473" name="Rehab_58" displayName="Rehab_58" ref="A144:D159" totalsRowShown="0" headerRowDxfId="2695" dataDxfId="2693" headerRowBorderDxfId="2694" tableBorderDxfId="2692" headerRowCellStyle="40% - Accent6">
  <autoFilter ref="A144:D159"/>
  <tableColumns count="4">
    <tableColumn id="1" name="Expense" dataDxfId="2691"/>
    <tableColumn id="2" name="Description" dataDxfId="2690"/>
    <tableColumn id="4" name="Label Name" dataDxfId="2689"/>
    <tableColumn id="5" name="Amount" dataDxfId="2688" dataCellStyle="40% - Accent6"/>
  </tableColumns>
  <tableStyleInfo name="TableStyleLight18" showFirstColumn="0" showLastColumn="0" showRowStripes="1" showColumnStripes="0"/>
</table>
</file>

<file path=xl/tables/table466.xml><?xml version="1.0" encoding="utf-8"?>
<table xmlns="http://schemas.openxmlformats.org/spreadsheetml/2006/main" id="458" name="Grass_59" displayName="Grass_59" ref="A11:D26" totalsRowShown="0" headerRowDxfId="2687" dataDxfId="2685" headerRowBorderDxfId="2686" tableBorderDxfId="2684" headerRowCellStyle="40% - Accent6">
  <autoFilter ref="A11:D26"/>
  <tableColumns count="4">
    <tableColumn id="1" name="Expense" dataDxfId="2683"/>
    <tableColumn id="2" name="Description" dataDxfId="2682"/>
    <tableColumn id="4" name="Label Name" dataDxfId="2681"/>
    <tableColumn id="5" name="Amount" dataDxfId="2680" dataCellStyle="20% - Accent6"/>
  </tableColumns>
  <tableStyleInfo name="TableStyleLight18" showFirstColumn="0" showLastColumn="0" showRowStripes="1" showColumnStripes="0"/>
</table>
</file>

<file path=xl/tables/table467.xml><?xml version="1.0" encoding="utf-8"?>
<table xmlns="http://schemas.openxmlformats.org/spreadsheetml/2006/main" id="459" name="Tree_59" displayName="Tree_59" ref="A30:D45" totalsRowShown="0" headerRowDxfId="2679" dataDxfId="2677" headerRowBorderDxfId="2678" tableBorderDxfId="2676" headerRowCellStyle="40% - Accent6">
  <autoFilter ref="A30:D45"/>
  <tableColumns count="4">
    <tableColumn id="1" name="Expense" dataDxfId="2675"/>
    <tableColumn id="2" name="Description" dataDxfId="2674"/>
    <tableColumn id="4" name="Label Name" dataDxfId="2673"/>
    <tableColumn id="5" name="Amount" dataDxfId="2672" dataCellStyle="40% - Accent6"/>
  </tableColumns>
  <tableStyleInfo name="TableStyleLight18" showFirstColumn="0" showLastColumn="0" showRowStripes="1" showColumnStripes="0"/>
</table>
</file>

<file path=xl/tables/table468.xml><?xml version="1.0" encoding="utf-8"?>
<table xmlns="http://schemas.openxmlformats.org/spreadsheetml/2006/main" id="460" name="Pest_59" displayName="Pest_59" ref="A49:D64" totalsRowShown="0" headerRowDxfId="2671" dataDxfId="2669" headerRowBorderDxfId="2670" tableBorderDxfId="2668" headerRowCellStyle="40% - Accent6">
  <autoFilter ref="A49:D64"/>
  <tableColumns count="4">
    <tableColumn id="1" name="Expense" dataDxfId="2667"/>
    <tableColumn id="2" name="Description" dataDxfId="2666"/>
    <tableColumn id="4" name="Label Name" dataDxfId="2665"/>
    <tableColumn id="5" name="Amount" dataDxfId="2664" dataCellStyle="40% - Accent6"/>
  </tableColumns>
  <tableStyleInfo name="TableStyleLight18" showFirstColumn="0" showLastColumn="0" showRowStripes="1" showColumnStripes="0"/>
</table>
</file>

<file path=xl/tables/table469.xml><?xml version="1.0" encoding="utf-8"?>
<table xmlns="http://schemas.openxmlformats.org/spreadsheetml/2006/main" id="461" name="Garbage_59" displayName="Garbage_59" ref="A68:D83" totalsRowShown="0" headerRowDxfId="2663" dataDxfId="2661" headerRowBorderDxfId="2662" tableBorderDxfId="2660" headerRowCellStyle="40% - Accent6">
  <autoFilter ref="A68:D83"/>
  <tableColumns count="4">
    <tableColumn id="1" name="Expense" dataDxfId="2659"/>
    <tableColumn id="2" name="Description" dataDxfId="2658"/>
    <tableColumn id="4" name="Label Name" dataDxfId="2657"/>
    <tableColumn id="5" name="Amount" dataDxfId="2656" dataCellStyle="20% - Accent6"/>
  </tableColumns>
  <tableStyleInfo name="TableStyleLight18" showFirstColumn="0" showLastColumn="0" showRowStripes="1" showColumnStripes="0"/>
</table>
</file>

<file path=xl/tables/table47.xml><?xml version="1.0" encoding="utf-8"?>
<table xmlns="http://schemas.openxmlformats.org/spreadsheetml/2006/main" id="112" name="Fence_6" displayName="Fence_6" ref="A106:D121" totalsRowShown="0" headerRowDxfId="6039" dataDxfId="6037" headerRowBorderDxfId="6038" tableBorderDxfId="6036" headerRowCellStyle="40% - Accent6">
  <autoFilter ref="A106:D121"/>
  <tableColumns count="4">
    <tableColumn id="1" name="Expense" dataDxfId="6035"/>
    <tableColumn id="2" name="Description" dataDxfId="6034"/>
    <tableColumn id="4" name="Label Name" dataDxfId="6033"/>
    <tableColumn id="5" name="Amount" dataDxfId="6032" dataCellStyle="40% - Accent6"/>
  </tableColumns>
  <tableStyleInfo name="TableStyleLight18" showFirstColumn="0" showLastColumn="0" showRowStripes="1" showColumnStripes="0"/>
</table>
</file>

<file path=xl/tables/table470.xml><?xml version="1.0" encoding="utf-8"?>
<table xmlns="http://schemas.openxmlformats.org/spreadsheetml/2006/main" id="462" name="Boarding_59" displayName="Boarding_59" ref="A87:D102" totalsRowShown="0" headerRowDxfId="2655" dataDxfId="2653" headerRowBorderDxfId="2654" tableBorderDxfId="2652" headerRowCellStyle="40% - Accent6">
  <autoFilter ref="A87:D102"/>
  <tableColumns count="4">
    <tableColumn id="1" name="Expense" dataDxfId="2651"/>
    <tableColumn id="2" name="Description" dataDxfId="2650"/>
    <tableColumn id="4" name="Label Name" dataDxfId="2649"/>
    <tableColumn id="5" name="Amount" dataDxfId="2648" dataCellStyle="40% - Accent6"/>
  </tableColumns>
  <tableStyleInfo name="TableStyleLight18" showFirstColumn="0" showLastColumn="0" showRowStripes="1" showColumnStripes="0"/>
</table>
</file>

<file path=xl/tables/table471.xml><?xml version="1.0" encoding="utf-8"?>
<table xmlns="http://schemas.openxmlformats.org/spreadsheetml/2006/main" id="463" name="Fence_59" displayName="Fence_59" ref="A106:D121" totalsRowShown="0" headerRowDxfId="2647" dataDxfId="2645" headerRowBorderDxfId="2646" tableBorderDxfId="2644" headerRowCellStyle="40% - Accent6">
  <autoFilter ref="A106:D121"/>
  <tableColumns count="4">
    <tableColumn id="1" name="Expense" dataDxfId="2643"/>
    <tableColumn id="2" name="Description" dataDxfId="2642"/>
    <tableColumn id="4" name="Label Name" dataDxfId="2641"/>
    <tableColumn id="5" name="Amount" dataDxfId="2640" dataCellStyle="40% - Accent6"/>
  </tableColumns>
  <tableStyleInfo name="TableStyleLight18" showFirstColumn="0" showLastColumn="0" showRowStripes="1" showColumnStripes="0"/>
</table>
</file>

<file path=xl/tables/table472.xml><?xml version="1.0" encoding="utf-8"?>
<table xmlns="http://schemas.openxmlformats.org/spreadsheetml/2006/main" id="464" name="Demolition_59" displayName="Demolition_59" ref="A125:D140" totalsRowShown="0" headerRowDxfId="2639" dataDxfId="2637" headerRowBorderDxfId="2638" tableBorderDxfId="2636" headerRowCellStyle="40% - Accent6">
  <autoFilter ref="A125:D140"/>
  <tableColumns count="4">
    <tableColumn id="1" name="Expense" dataDxfId="2635"/>
    <tableColumn id="2" name="Description" dataDxfId="2634"/>
    <tableColumn id="4" name="Label Name" dataDxfId="2633"/>
    <tableColumn id="5" name="Amount" dataDxfId="2632" dataCellStyle="40% - Accent6"/>
  </tableColumns>
  <tableStyleInfo name="TableStyleLight18" showFirstColumn="0" showLastColumn="0" showRowStripes="1" showColumnStripes="0"/>
</table>
</file>

<file path=xl/tables/table473.xml><?xml version="1.0" encoding="utf-8"?>
<table xmlns="http://schemas.openxmlformats.org/spreadsheetml/2006/main" id="465" name="Rehab_59" displayName="Rehab_59" ref="A144:D159" totalsRowShown="0" headerRowDxfId="2631" dataDxfId="2629" headerRowBorderDxfId="2630" tableBorderDxfId="2628" headerRowCellStyle="40% - Accent6">
  <autoFilter ref="A144:D159"/>
  <tableColumns count="4">
    <tableColumn id="1" name="Expense" dataDxfId="2627"/>
    <tableColumn id="2" name="Description" dataDxfId="2626"/>
    <tableColumn id="4" name="Label Name" dataDxfId="2625"/>
    <tableColumn id="5" name="Amount" dataDxfId="2624" dataCellStyle="40% - Accent6"/>
  </tableColumns>
  <tableStyleInfo name="TableStyleLight18" showFirstColumn="0" showLastColumn="0" showRowStripes="1" showColumnStripes="0"/>
</table>
</file>

<file path=xl/tables/table474.xml><?xml version="1.0" encoding="utf-8"?>
<table xmlns="http://schemas.openxmlformats.org/spreadsheetml/2006/main" id="474" name="Grass_60" displayName="Grass_60" ref="A11:D26" totalsRowShown="0" headerRowDxfId="2623" dataDxfId="2621" headerRowBorderDxfId="2622" tableBorderDxfId="2620" headerRowCellStyle="40% - Accent6">
  <autoFilter ref="A11:D26"/>
  <tableColumns count="4">
    <tableColumn id="1" name="Expense" dataDxfId="2619"/>
    <tableColumn id="2" name="Description" dataDxfId="2618"/>
    <tableColumn id="4" name="Label Name" dataDxfId="2617"/>
    <tableColumn id="5" name="Amount" dataDxfId="2616" dataCellStyle="20% - Accent6"/>
  </tableColumns>
  <tableStyleInfo name="TableStyleLight18" showFirstColumn="0" showLastColumn="0" showRowStripes="1" showColumnStripes="0"/>
</table>
</file>

<file path=xl/tables/table475.xml><?xml version="1.0" encoding="utf-8"?>
<table xmlns="http://schemas.openxmlformats.org/spreadsheetml/2006/main" id="475" name="Tree_60" displayName="Tree_60" ref="A30:D45" totalsRowShown="0" headerRowDxfId="2615" dataDxfId="2613" headerRowBorderDxfId="2614" tableBorderDxfId="2612" headerRowCellStyle="40% - Accent6">
  <autoFilter ref="A30:D45"/>
  <tableColumns count="4">
    <tableColumn id="1" name="Expense" dataDxfId="2611"/>
    <tableColumn id="2" name="Description" dataDxfId="2610"/>
    <tableColumn id="4" name="Label Name" dataDxfId="2609"/>
    <tableColumn id="5" name="Amount" dataDxfId="2608" dataCellStyle="40% - Accent6"/>
  </tableColumns>
  <tableStyleInfo name="TableStyleLight18" showFirstColumn="0" showLastColumn="0" showRowStripes="1" showColumnStripes="0"/>
</table>
</file>

<file path=xl/tables/table476.xml><?xml version="1.0" encoding="utf-8"?>
<table xmlns="http://schemas.openxmlformats.org/spreadsheetml/2006/main" id="476" name="Pest_60" displayName="Pest_60" ref="A49:D64" totalsRowShown="0" headerRowDxfId="2607" dataDxfId="2605" headerRowBorderDxfId="2606" tableBorderDxfId="2604" headerRowCellStyle="40% - Accent6">
  <autoFilter ref="A49:D64"/>
  <tableColumns count="4">
    <tableColumn id="1" name="Expense" dataDxfId="2603"/>
    <tableColumn id="2" name="Description" dataDxfId="2602"/>
    <tableColumn id="4" name="Label Name" dataDxfId="2601"/>
    <tableColumn id="5" name="Amount" dataDxfId="2600" dataCellStyle="40% - Accent6"/>
  </tableColumns>
  <tableStyleInfo name="TableStyleLight18" showFirstColumn="0" showLastColumn="0" showRowStripes="1" showColumnStripes="0"/>
</table>
</file>

<file path=xl/tables/table477.xml><?xml version="1.0" encoding="utf-8"?>
<table xmlns="http://schemas.openxmlformats.org/spreadsheetml/2006/main" id="477" name="Garbage_60" displayName="Garbage_60" ref="A68:D83" totalsRowShown="0" headerRowDxfId="2599" dataDxfId="2597" headerRowBorderDxfId="2598" tableBorderDxfId="2596" headerRowCellStyle="40% - Accent6">
  <autoFilter ref="A68:D83"/>
  <tableColumns count="4">
    <tableColumn id="1" name="Expense" dataDxfId="2595"/>
    <tableColumn id="2" name="Description" dataDxfId="2594"/>
    <tableColumn id="4" name="Label Name" dataDxfId="2593"/>
    <tableColumn id="5" name="Amount" dataDxfId="2592" dataCellStyle="20% - Accent6"/>
  </tableColumns>
  <tableStyleInfo name="TableStyleLight18" showFirstColumn="0" showLastColumn="0" showRowStripes="1" showColumnStripes="0"/>
</table>
</file>

<file path=xl/tables/table478.xml><?xml version="1.0" encoding="utf-8"?>
<table xmlns="http://schemas.openxmlformats.org/spreadsheetml/2006/main" id="478" name="Boarding_60" displayName="Boarding_60" ref="A87:D102" totalsRowShown="0" headerRowDxfId="2591" dataDxfId="2589" headerRowBorderDxfId="2590" tableBorderDxfId="2588" headerRowCellStyle="40% - Accent6">
  <autoFilter ref="A87:D102"/>
  <tableColumns count="4">
    <tableColumn id="1" name="Expense" dataDxfId="2587"/>
    <tableColumn id="2" name="Description" dataDxfId="2586"/>
    <tableColumn id="4" name="Label Name" dataDxfId="2585"/>
    <tableColumn id="5" name="Amount" dataDxfId="2584" dataCellStyle="40% - Accent6"/>
  </tableColumns>
  <tableStyleInfo name="TableStyleLight18" showFirstColumn="0" showLastColumn="0" showRowStripes="1" showColumnStripes="0"/>
</table>
</file>

<file path=xl/tables/table479.xml><?xml version="1.0" encoding="utf-8"?>
<table xmlns="http://schemas.openxmlformats.org/spreadsheetml/2006/main" id="479" name="Fence_60" displayName="Fence_60" ref="A106:D121" totalsRowShown="0" headerRowDxfId="2583" dataDxfId="2581" headerRowBorderDxfId="2582" tableBorderDxfId="2580" headerRowCellStyle="40% - Accent6">
  <autoFilter ref="A106:D121"/>
  <tableColumns count="4">
    <tableColumn id="1" name="Expense" dataDxfId="2579"/>
    <tableColumn id="2" name="Description" dataDxfId="2578"/>
    <tableColumn id="4" name="Label Name" dataDxfId="2577"/>
    <tableColumn id="5" name="Amount" dataDxfId="2576" dataCellStyle="40% - Accent6"/>
  </tableColumns>
  <tableStyleInfo name="TableStyleLight18" showFirstColumn="0" showLastColumn="0" showRowStripes="1" showColumnStripes="0"/>
</table>
</file>

<file path=xl/tables/table48.xml><?xml version="1.0" encoding="utf-8"?>
<table xmlns="http://schemas.openxmlformats.org/spreadsheetml/2006/main" id="113" name="Demolition_6" displayName="Demolition_6" ref="A125:D140" totalsRowShown="0" headerRowDxfId="6031" dataDxfId="6029" headerRowBorderDxfId="6030" tableBorderDxfId="6028" headerRowCellStyle="40% - Accent6">
  <autoFilter ref="A125:D140"/>
  <tableColumns count="4">
    <tableColumn id="1" name="Expense" dataDxfId="6027"/>
    <tableColumn id="2" name="Description" dataDxfId="6026"/>
    <tableColumn id="4" name="Label Name" dataDxfId="6025"/>
    <tableColumn id="5" name="Amount" dataDxfId="6024" dataCellStyle="40% - Accent6"/>
  </tableColumns>
  <tableStyleInfo name="TableStyleLight18" showFirstColumn="0" showLastColumn="0" showRowStripes="1" showColumnStripes="0"/>
</table>
</file>

<file path=xl/tables/table480.xml><?xml version="1.0" encoding="utf-8"?>
<table xmlns="http://schemas.openxmlformats.org/spreadsheetml/2006/main" id="480" name="Demolition_60" displayName="Demolition_60" ref="A125:D140" totalsRowShown="0" headerRowDxfId="2575" dataDxfId="2573" headerRowBorderDxfId="2574" tableBorderDxfId="2572" headerRowCellStyle="40% - Accent6">
  <autoFilter ref="A125:D140"/>
  <tableColumns count="4">
    <tableColumn id="1" name="Expense" dataDxfId="2571"/>
    <tableColumn id="2" name="Description" dataDxfId="2570"/>
    <tableColumn id="4" name="Label Name" dataDxfId="2569"/>
    <tableColumn id="5" name="Amount" dataDxfId="2568" dataCellStyle="40% - Accent6"/>
  </tableColumns>
  <tableStyleInfo name="TableStyleLight18" showFirstColumn="0" showLastColumn="0" showRowStripes="1" showColumnStripes="0"/>
</table>
</file>

<file path=xl/tables/table481.xml><?xml version="1.0" encoding="utf-8"?>
<table xmlns="http://schemas.openxmlformats.org/spreadsheetml/2006/main" id="481" name="Rehab_60" displayName="Rehab_60" ref="A144:D159" totalsRowShown="0" headerRowDxfId="2567" dataDxfId="2565" headerRowBorderDxfId="2566" tableBorderDxfId="2564" headerRowCellStyle="40% - Accent6">
  <autoFilter ref="A144:D159"/>
  <tableColumns count="4">
    <tableColumn id="1" name="Expense" dataDxfId="2563"/>
    <tableColumn id="2" name="Description" dataDxfId="2562"/>
    <tableColumn id="4" name="Label Name" dataDxfId="2561"/>
    <tableColumn id="5" name="Amount" dataDxfId="2560" dataCellStyle="40% - Accent6"/>
  </tableColumns>
  <tableStyleInfo name="TableStyleLight18" showFirstColumn="0" showLastColumn="0" showRowStripes="1" showColumnStripes="0"/>
</table>
</file>

<file path=xl/tables/table482.xml><?xml version="1.0" encoding="utf-8"?>
<table xmlns="http://schemas.openxmlformats.org/spreadsheetml/2006/main" id="482" name="Grass_61" displayName="Grass_61" ref="A11:D26" totalsRowShown="0" headerRowDxfId="2559" dataDxfId="2557" headerRowBorderDxfId="2558" tableBorderDxfId="2556" headerRowCellStyle="40% - Accent6">
  <autoFilter ref="A11:D26"/>
  <tableColumns count="4">
    <tableColumn id="1" name="Expense" dataDxfId="2555"/>
    <tableColumn id="2" name="Description" dataDxfId="2554"/>
    <tableColumn id="4" name="Label Name" dataDxfId="2553"/>
    <tableColumn id="5" name="Amount" dataDxfId="2552" dataCellStyle="20% - Accent6"/>
  </tableColumns>
  <tableStyleInfo name="TableStyleLight18" showFirstColumn="0" showLastColumn="0" showRowStripes="1" showColumnStripes="0"/>
</table>
</file>

<file path=xl/tables/table483.xml><?xml version="1.0" encoding="utf-8"?>
<table xmlns="http://schemas.openxmlformats.org/spreadsheetml/2006/main" id="483" name="Tree_61" displayName="Tree_61" ref="A30:D45" totalsRowShown="0" headerRowDxfId="2551" dataDxfId="2549" headerRowBorderDxfId="2550" tableBorderDxfId="2548" headerRowCellStyle="40% - Accent6">
  <autoFilter ref="A30:D45"/>
  <tableColumns count="4">
    <tableColumn id="1" name="Expense" dataDxfId="2547"/>
    <tableColumn id="2" name="Description" dataDxfId="2546"/>
    <tableColumn id="4" name="Label Name" dataDxfId="2545"/>
    <tableColumn id="5" name="Amount" dataDxfId="2544" dataCellStyle="40% - Accent6"/>
  </tableColumns>
  <tableStyleInfo name="TableStyleLight18" showFirstColumn="0" showLastColumn="0" showRowStripes="1" showColumnStripes="0"/>
</table>
</file>

<file path=xl/tables/table484.xml><?xml version="1.0" encoding="utf-8"?>
<table xmlns="http://schemas.openxmlformats.org/spreadsheetml/2006/main" id="484" name="Pest_61" displayName="Pest_61" ref="A49:D64" totalsRowShown="0" headerRowDxfId="2543" dataDxfId="2541" headerRowBorderDxfId="2542" tableBorderDxfId="2540" headerRowCellStyle="40% - Accent6">
  <autoFilter ref="A49:D64"/>
  <tableColumns count="4">
    <tableColumn id="1" name="Expense" dataDxfId="2539"/>
    <tableColumn id="2" name="Description" dataDxfId="2538"/>
    <tableColumn id="4" name="Label Name" dataDxfId="2537"/>
    <tableColumn id="5" name="Amount" dataDxfId="2536" dataCellStyle="40% - Accent6"/>
  </tableColumns>
  <tableStyleInfo name="TableStyleLight18" showFirstColumn="0" showLastColumn="0" showRowStripes="1" showColumnStripes="0"/>
</table>
</file>

<file path=xl/tables/table485.xml><?xml version="1.0" encoding="utf-8"?>
<table xmlns="http://schemas.openxmlformats.org/spreadsheetml/2006/main" id="485" name="Garbage_61" displayName="Garbage_61" ref="A68:D83" totalsRowShown="0" headerRowDxfId="2535" dataDxfId="2533" headerRowBorderDxfId="2534" tableBorderDxfId="2532" headerRowCellStyle="40% - Accent6">
  <autoFilter ref="A68:D83"/>
  <tableColumns count="4">
    <tableColumn id="1" name="Expense" dataDxfId="2531"/>
    <tableColumn id="2" name="Description" dataDxfId="2530"/>
    <tableColumn id="4" name="Label Name" dataDxfId="2529"/>
    <tableColumn id="5" name="Amount" dataDxfId="2528" dataCellStyle="20% - Accent6"/>
  </tableColumns>
  <tableStyleInfo name="TableStyleLight18" showFirstColumn="0" showLastColumn="0" showRowStripes="1" showColumnStripes="0"/>
</table>
</file>

<file path=xl/tables/table486.xml><?xml version="1.0" encoding="utf-8"?>
<table xmlns="http://schemas.openxmlformats.org/spreadsheetml/2006/main" id="486" name="Boarding_61" displayName="Boarding_61" ref="A87:D102" totalsRowShown="0" headerRowDxfId="2527" dataDxfId="2525" headerRowBorderDxfId="2526" tableBorderDxfId="2524" headerRowCellStyle="40% - Accent6">
  <autoFilter ref="A87:D102"/>
  <tableColumns count="4">
    <tableColumn id="1" name="Expense" dataDxfId="2523"/>
    <tableColumn id="2" name="Description" dataDxfId="2522"/>
    <tableColumn id="4" name="Label Name" dataDxfId="2521"/>
    <tableColumn id="5" name="Amount" dataDxfId="2520" dataCellStyle="40% - Accent6"/>
  </tableColumns>
  <tableStyleInfo name="TableStyleLight18" showFirstColumn="0" showLastColumn="0" showRowStripes="1" showColumnStripes="0"/>
</table>
</file>

<file path=xl/tables/table487.xml><?xml version="1.0" encoding="utf-8"?>
<table xmlns="http://schemas.openxmlformats.org/spreadsheetml/2006/main" id="487" name="Fence_61" displayName="Fence_61" ref="A106:D121" totalsRowShown="0" headerRowDxfId="2519" dataDxfId="2517" headerRowBorderDxfId="2518" tableBorderDxfId="2516" headerRowCellStyle="40% - Accent6">
  <autoFilter ref="A106:D121"/>
  <tableColumns count="4">
    <tableColumn id="1" name="Expense" dataDxfId="2515"/>
    <tableColumn id="2" name="Description" dataDxfId="2514"/>
    <tableColumn id="4" name="Label Name" dataDxfId="2513"/>
    <tableColumn id="5" name="Amount" dataDxfId="2512" dataCellStyle="40% - Accent6"/>
  </tableColumns>
  <tableStyleInfo name="TableStyleLight18" showFirstColumn="0" showLastColumn="0" showRowStripes="1" showColumnStripes="0"/>
</table>
</file>

<file path=xl/tables/table488.xml><?xml version="1.0" encoding="utf-8"?>
<table xmlns="http://schemas.openxmlformats.org/spreadsheetml/2006/main" id="488" name="Demolition_61" displayName="Demolition_61" ref="A125:D140" totalsRowShown="0" headerRowDxfId="2511" dataDxfId="2509" headerRowBorderDxfId="2510" tableBorderDxfId="2508" headerRowCellStyle="40% - Accent6">
  <autoFilter ref="A125:D140"/>
  <tableColumns count="4">
    <tableColumn id="1" name="Expense" dataDxfId="2507"/>
    <tableColumn id="2" name="Description" dataDxfId="2506"/>
    <tableColumn id="4" name="Label Name" dataDxfId="2505"/>
    <tableColumn id="5" name="Amount" dataDxfId="2504" dataCellStyle="40% - Accent6"/>
  </tableColumns>
  <tableStyleInfo name="TableStyleLight18" showFirstColumn="0" showLastColumn="0" showRowStripes="1" showColumnStripes="0"/>
</table>
</file>

<file path=xl/tables/table489.xml><?xml version="1.0" encoding="utf-8"?>
<table xmlns="http://schemas.openxmlformats.org/spreadsheetml/2006/main" id="489" name="Rehab_61" displayName="Rehab_61" ref="A144:D159" totalsRowShown="0" headerRowDxfId="2503" dataDxfId="2501" headerRowBorderDxfId="2502" tableBorderDxfId="2500" headerRowCellStyle="40% - Accent6">
  <autoFilter ref="A144:D159"/>
  <tableColumns count="4">
    <tableColumn id="1" name="Expense" dataDxfId="2499"/>
    <tableColumn id="2" name="Description" dataDxfId="2498"/>
    <tableColumn id="4" name="Label Name" dataDxfId="2497"/>
    <tableColumn id="5" name="Amount" dataDxfId="2496" dataCellStyle="40% - Accent6"/>
  </tableColumns>
  <tableStyleInfo name="TableStyleLight18" showFirstColumn="0" showLastColumn="0" showRowStripes="1" showColumnStripes="0"/>
</table>
</file>

<file path=xl/tables/table49.xml><?xml version="1.0" encoding="utf-8"?>
<table xmlns="http://schemas.openxmlformats.org/spreadsheetml/2006/main" id="114" name="Rehab_6" displayName="Rehab_6" ref="A144:D159" totalsRowShown="0" headerRowDxfId="6023" dataDxfId="6021" headerRowBorderDxfId="6022" tableBorderDxfId="6020" headerRowCellStyle="40% - Accent6">
  <autoFilter ref="A144:D159"/>
  <tableColumns count="4">
    <tableColumn id="1" name="Expense" dataDxfId="6019"/>
    <tableColumn id="2" name="Description" dataDxfId="6018"/>
    <tableColumn id="4" name="Label Name" dataDxfId="6017"/>
    <tableColumn id="5" name="Amount" dataDxfId="6016" dataCellStyle="40% - Accent6"/>
  </tableColumns>
  <tableStyleInfo name="TableStyleLight18" showFirstColumn="0" showLastColumn="0" showRowStripes="1" showColumnStripes="0"/>
</table>
</file>

<file path=xl/tables/table490.xml><?xml version="1.0" encoding="utf-8"?>
<table xmlns="http://schemas.openxmlformats.org/spreadsheetml/2006/main" id="490" name="Grass_62" displayName="Grass_62" ref="A11:D26" totalsRowShown="0" headerRowDxfId="2495" dataDxfId="2493" headerRowBorderDxfId="2494" tableBorderDxfId="2492" headerRowCellStyle="40% - Accent6">
  <autoFilter ref="A11:D26"/>
  <tableColumns count="4">
    <tableColumn id="1" name="Expense" dataDxfId="2491"/>
    <tableColumn id="2" name="Description" dataDxfId="2490"/>
    <tableColumn id="4" name="Label Name" dataDxfId="2489"/>
    <tableColumn id="5" name="Amount" dataDxfId="2488" dataCellStyle="20% - Accent6"/>
  </tableColumns>
  <tableStyleInfo name="TableStyleLight18" showFirstColumn="0" showLastColumn="0" showRowStripes="1" showColumnStripes="0"/>
</table>
</file>

<file path=xl/tables/table491.xml><?xml version="1.0" encoding="utf-8"?>
<table xmlns="http://schemas.openxmlformats.org/spreadsheetml/2006/main" id="491" name="Tree_62" displayName="Tree_62" ref="A30:D45" totalsRowShown="0" headerRowDxfId="2487" dataDxfId="2485" headerRowBorderDxfId="2486" tableBorderDxfId="2484" headerRowCellStyle="40% - Accent6">
  <autoFilter ref="A30:D45"/>
  <tableColumns count="4">
    <tableColumn id="1" name="Expense" dataDxfId="2483"/>
    <tableColumn id="2" name="Description" dataDxfId="2482"/>
    <tableColumn id="4" name="Label Name" dataDxfId="2481"/>
    <tableColumn id="5" name="Amount" dataDxfId="2480" dataCellStyle="40% - Accent6"/>
  </tableColumns>
  <tableStyleInfo name="TableStyleLight18" showFirstColumn="0" showLastColumn="0" showRowStripes="1" showColumnStripes="0"/>
</table>
</file>

<file path=xl/tables/table492.xml><?xml version="1.0" encoding="utf-8"?>
<table xmlns="http://schemas.openxmlformats.org/spreadsheetml/2006/main" id="492" name="Pest_62" displayName="Pest_62" ref="A49:D64" totalsRowShown="0" headerRowDxfId="2479" dataDxfId="2477" headerRowBorderDxfId="2478" tableBorderDxfId="2476" headerRowCellStyle="40% - Accent6">
  <autoFilter ref="A49:D64"/>
  <tableColumns count="4">
    <tableColumn id="1" name="Expense" dataDxfId="2475"/>
    <tableColumn id="2" name="Description" dataDxfId="2474"/>
    <tableColumn id="4" name="Label Name" dataDxfId="2473"/>
    <tableColumn id="5" name="Amount" dataDxfId="2472" dataCellStyle="40% - Accent6"/>
  </tableColumns>
  <tableStyleInfo name="TableStyleLight18" showFirstColumn="0" showLastColumn="0" showRowStripes="1" showColumnStripes="0"/>
</table>
</file>

<file path=xl/tables/table493.xml><?xml version="1.0" encoding="utf-8"?>
<table xmlns="http://schemas.openxmlformats.org/spreadsheetml/2006/main" id="493" name="Garbage_62" displayName="Garbage_62" ref="A68:D83" totalsRowShown="0" headerRowDxfId="2471" dataDxfId="2469" headerRowBorderDxfId="2470" tableBorderDxfId="2468" headerRowCellStyle="40% - Accent6">
  <autoFilter ref="A68:D83"/>
  <tableColumns count="4">
    <tableColumn id="1" name="Expense" dataDxfId="2467"/>
    <tableColumn id="2" name="Description" dataDxfId="2466"/>
    <tableColumn id="4" name="Label Name" dataDxfId="2465"/>
    <tableColumn id="5" name="Amount" dataDxfId="2464" dataCellStyle="20% - Accent6"/>
  </tableColumns>
  <tableStyleInfo name="TableStyleLight18" showFirstColumn="0" showLastColumn="0" showRowStripes="1" showColumnStripes="0"/>
</table>
</file>

<file path=xl/tables/table494.xml><?xml version="1.0" encoding="utf-8"?>
<table xmlns="http://schemas.openxmlformats.org/spreadsheetml/2006/main" id="494" name="Boarding_62" displayName="Boarding_62" ref="A87:D102" totalsRowShown="0" headerRowDxfId="2463" dataDxfId="2461" headerRowBorderDxfId="2462" tableBorderDxfId="2460" headerRowCellStyle="40% - Accent6">
  <autoFilter ref="A87:D102"/>
  <tableColumns count="4">
    <tableColumn id="1" name="Expense" dataDxfId="2459"/>
    <tableColumn id="2" name="Description" dataDxfId="2458"/>
    <tableColumn id="4" name="Label Name" dataDxfId="2457"/>
    <tableColumn id="5" name="Amount" dataDxfId="2456" dataCellStyle="40% - Accent6"/>
  </tableColumns>
  <tableStyleInfo name="TableStyleLight18" showFirstColumn="0" showLastColumn="0" showRowStripes="1" showColumnStripes="0"/>
</table>
</file>

<file path=xl/tables/table495.xml><?xml version="1.0" encoding="utf-8"?>
<table xmlns="http://schemas.openxmlformats.org/spreadsheetml/2006/main" id="495" name="Fence_62" displayName="Fence_62" ref="A106:D121" totalsRowShown="0" headerRowDxfId="2455" dataDxfId="2453" headerRowBorderDxfId="2454" tableBorderDxfId="2452" headerRowCellStyle="40% - Accent6">
  <autoFilter ref="A106:D121"/>
  <tableColumns count="4">
    <tableColumn id="1" name="Expense" dataDxfId="2451"/>
    <tableColumn id="2" name="Description" dataDxfId="2450"/>
    <tableColumn id="4" name="Label Name" dataDxfId="2449"/>
    <tableColumn id="5" name="Amount" dataDxfId="2448" dataCellStyle="40% - Accent6"/>
  </tableColumns>
  <tableStyleInfo name="TableStyleLight18" showFirstColumn="0" showLastColumn="0" showRowStripes="1" showColumnStripes="0"/>
</table>
</file>

<file path=xl/tables/table496.xml><?xml version="1.0" encoding="utf-8"?>
<table xmlns="http://schemas.openxmlformats.org/spreadsheetml/2006/main" id="496" name="Demolition_62" displayName="Demolition_62" ref="A125:D140" totalsRowShown="0" headerRowDxfId="2447" dataDxfId="2445" headerRowBorderDxfId="2446" tableBorderDxfId="2444" headerRowCellStyle="40% - Accent6">
  <autoFilter ref="A125:D140"/>
  <tableColumns count="4">
    <tableColumn id="1" name="Expense" dataDxfId="2443"/>
    <tableColumn id="2" name="Description" dataDxfId="2442"/>
    <tableColumn id="4" name="Label Name" dataDxfId="2441"/>
    <tableColumn id="5" name="Amount" dataDxfId="2440" dataCellStyle="40% - Accent6"/>
  </tableColumns>
  <tableStyleInfo name="TableStyleLight18" showFirstColumn="0" showLastColumn="0" showRowStripes="1" showColumnStripes="0"/>
</table>
</file>

<file path=xl/tables/table497.xml><?xml version="1.0" encoding="utf-8"?>
<table xmlns="http://schemas.openxmlformats.org/spreadsheetml/2006/main" id="497" name="Rehab_62" displayName="Rehab_62" ref="A144:D159" totalsRowShown="0" headerRowDxfId="2439" dataDxfId="2437" headerRowBorderDxfId="2438" tableBorderDxfId="2436" headerRowCellStyle="40% - Accent6">
  <autoFilter ref="A144:D159"/>
  <tableColumns count="4">
    <tableColumn id="1" name="Expense" dataDxfId="2435"/>
    <tableColumn id="2" name="Description" dataDxfId="2434"/>
    <tableColumn id="4" name="Label Name" dataDxfId="2433"/>
    <tableColumn id="5" name="Amount" dataDxfId="2432" dataCellStyle="40% - Accent6"/>
  </tableColumns>
  <tableStyleInfo name="TableStyleLight18" showFirstColumn="0" showLastColumn="0" showRowStripes="1" showColumnStripes="0"/>
</table>
</file>

<file path=xl/tables/table498.xml><?xml version="1.0" encoding="utf-8"?>
<table xmlns="http://schemas.openxmlformats.org/spreadsheetml/2006/main" id="498" name="Grass_63" displayName="Grass_63" ref="A11:D26" totalsRowShown="0" headerRowDxfId="2431" dataDxfId="2429" headerRowBorderDxfId="2430" tableBorderDxfId="2428" headerRowCellStyle="40% - Accent6">
  <autoFilter ref="A11:D26"/>
  <tableColumns count="4">
    <tableColumn id="1" name="Expense" dataDxfId="2427"/>
    <tableColumn id="2" name="Description" dataDxfId="2426"/>
    <tableColumn id="4" name="Label Name" dataDxfId="2425"/>
    <tableColumn id="5" name="Amount" dataDxfId="2424" dataCellStyle="20% - Accent6"/>
  </tableColumns>
  <tableStyleInfo name="TableStyleLight18" showFirstColumn="0" showLastColumn="0" showRowStripes="1" showColumnStripes="0"/>
</table>
</file>

<file path=xl/tables/table499.xml><?xml version="1.0" encoding="utf-8"?>
<table xmlns="http://schemas.openxmlformats.org/spreadsheetml/2006/main" id="499" name="Tree_63" displayName="Tree_63" ref="A30:D45" totalsRowShown="0" headerRowDxfId="2423" dataDxfId="2421" headerRowBorderDxfId="2422" tableBorderDxfId="2420" headerRowCellStyle="40% - Accent6">
  <autoFilter ref="A30:D45"/>
  <tableColumns count="4">
    <tableColumn id="1" name="Expense" dataDxfId="2419"/>
    <tableColumn id="2" name="Description" dataDxfId="2418"/>
    <tableColumn id="4" name="Label Name" dataDxfId="2417"/>
    <tableColumn id="5" name="Amount" dataDxfId="2416" dataCellStyle="40% - Accent6"/>
  </tableColumns>
  <tableStyleInfo name="TableStyleLight18" showFirstColumn="0" showLastColumn="0" showRowStripes="1" showColumnStripes="0"/>
</table>
</file>

<file path=xl/tables/table5.xml><?xml version="1.0" encoding="utf-8"?>
<table xmlns="http://schemas.openxmlformats.org/spreadsheetml/2006/main" id="62" name="Garbage_1" displayName="Garbage_1" ref="A68:D83" totalsRowShown="0" headerRowDxfId="6375" dataDxfId="6373" headerRowBorderDxfId="6374" tableBorderDxfId="6372" headerRowCellStyle="40% - Accent6">
  <autoFilter ref="A68:D83"/>
  <tableColumns count="4">
    <tableColumn id="1" name="Expense" dataDxfId="6371"/>
    <tableColumn id="2" name="Description" dataDxfId="6370"/>
    <tableColumn id="4" name="Label Name" dataDxfId="6369"/>
    <tableColumn id="5" name="Amount" dataDxfId="6368" dataCellStyle="20% - Accent6"/>
  </tableColumns>
  <tableStyleInfo name="TableStyleLight18" showFirstColumn="0" showLastColumn="0" showRowStripes="1" showColumnStripes="0"/>
</table>
</file>

<file path=xl/tables/table50.xml><?xml version="1.0" encoding="utf-8"?>
<table xmlns="http://schemas.openxmlformats.org/spreadsheetml/2006/main" id="115" name="Grass_7" displayName="Grass_7" ref="A11:D26" totalsRowShown="0" headerRowDxfId="6015" dataDxfId="6013" headerRowBorderDxfId="6014" tableBorderDxfId="6012" headerRowCellStyle="40% - Accent6">
  <autoFilter ref="A11:D26"/>
  <tableColumns count="4">
    <tableColumn id="1" name="Expense" dataDxfId="6011"/>
    <tableColumn id="2" name="Description" dataDxfId="6010"/>
    <tableColumn id="4" name="Label Name" dataDxfId="6009"/>
    <tableColumn id="5" name="Amount" dataDxfId="6008" dataCellStyle="20% - Accent6"/>
  </tableColumns>
  <tableStyleInfo name="TableStyleLight18" showFirstColumn="0" showLastColumn="0" showRowStripes="1" showColumnStripes="0"/>
</table>
</file>

<file path=xl/tables/table500.xml><?xml version="1.0" encoding="utf-8"?>
<table xmlns="http://schemas.openxmlformats.org/spreadsheetml/2006/main" id="500" name="Pest_63" displayName="Pest_63" ref="A49:D64" totalsRowShown="0" headerRowDxfId="2415" dataDxfId="2413" headerRowBorderDxfId="2414" tableBorderDxfId="2412" headerRowCellStyle="40% - Accent6">
  <autoFilter ref="A49:D64"/>
  <tableColumns count="4">
    <tableColumn id="1" name="Expense" dataDxfId="2411"/>
    <tableColumn id="2" name="Description" dataDxfId="2410"/>
    <tableColumn id="4" name="Label Name" dataDxfId="2409"/>
    <tableColumn id="5" name="Amount" dataDxfId="2408" dataCellStyle="40% - Accent6"/>
  </tableColumns>
  <tableStyleInfo name="TableStyleLight18" showFirstColumn="0" showLastColumn="0" showRowStripes="1" showColumnStripes="0"/>
</table>
</file>

<file path=xl/tables/table501.xml><?xml version="1.0" encoding="utf-8"?>
<table xmlns="http://schemas.openxmlformats.org/spreadsheetml/2006/main" id="501" name="Garbage_63" displayName="Garbage_63" ref="A68:D83" totalsRowShown="0" headerRowDxfId="2407" dataDxfId="2405" headerRowBorderDxfId="2406" tableBorderDxfId="2404" headerRowCellStyle="40% - Accent6">
  <autoFilter ref="A68:D83"/>
  <tableColumns count="4">
    <tableColumn id="1" name="Expense" dataDxfId="2403"/>
    <tableColumn id="2" name="Description" dataDxfId="2402"/>
    <tableColumn id="4" name="Label Name" dataDxfId="2401"/>
    <tableColumn id="5" name="Amount" dataDxfId="2400" dataCellStyle="20% - Accent6"/>
  </tableColumns>
  <tableStyleInfo name="TableStyleLight18" showFirstColumn="0" showLastColumn="0" showRowStripes="1" showColumnStripes="0"/>
</table>
</file>

<file path=xl/tables/table502.xml><?xml version="1.0" encoding="utf-8"?>
<table xmlns="http://schemas.openxmlformats.org/spreadsheetml/2006/main" id="502" name="Boarding_63" displayName="Boarding_63" ref="A87:D102" totalsRowShown="0" headerRowDxfId="2399" dataDxfId="2397" headerRowBorderDxfId="2398" tableBorderDxfId="2396" headerRowCellStyle="40% - Accent6">
  <autoFilter ref="A87:D102"/>
  <tableColumns count="4">
    <tableColumn id="1" name="Expense" dataDxfId="2395"/>
    <tableColumn id="2" name="Description" dataDxfId="2394"/>
    <tableColumn id="4" name="Label Name" dataDxfId="2393"/>
    <tableColumn id="5" name="Amount" dataDxfId="2392" dataCellStyle="40% - Accent6"/>
  </tableColumns>
  <tableStyleInfo name="TableStyleLight18" showFirstColumn="0" showLastColumn="0" showRowStripes="1" showColumnStripes="0"/>
</table>
</file>

<file path=xl/tables/table503.xml><?xml version="1.0" encoding="utf-8"?>
<table xmlns="http://schemas.openxmlformats.org/spreadsheetml/2006/main" id="503" name="Fence_63" displayName="Fence_63" ref="A106:D121" totalsRowShown="0" headerRowDxfId="2391" dataDxfId="2389" headerRowBorderDxfId="2390" tableBorderDxfId="2388" headerRowCellStyle="40% - Accent6">
  <autoFilter ref="A106:D121"/>
  <tableColumns count="4">
    <tableColumn id="1" name="Expense" dataDxfId="2387"/>
    <tableColumn id="2" name="Description" dataDxfId="2386"/>
    <tableColumn id="4" name="Label Name" dataDxfId="2385"/>
    <tableColumn id="5" name="Amount" dataDxfId="2384" dataCellStyle="40% - Accent6"/>
  </tableColumns>
  <tableStyleInfo name="TableStyleLight18" showFirstColumn="0" showLastColumn="0" showRowStripes="1" showColumnStripes="0"/>
</table>
</file>

<file path=xl/tables/table504.xml><?xml version="1.0" encoding="utf-8"?>
<table xmlns="http://schemas.openxmlformats.org/spreadsheetml/2006/main" id="504" name="Demolition_63" displayName="Demolition_63" ref="A125:D140" totalsRowShown="0" headerRowDxfId="2383" dataDxfId="2381" headerRowBorderDxfId="2382" tableBorderDxfId="2380" headerRowCellStyle="40% - Accent6">
  <autoFilter ref="A125:D140"/>
  <tableColumns count="4">
    <tableColumn id="1" name="Expense" dataDxfId="2379"/>
    <tableColumn id="2" name="Description" dataDxfId="2378"/>
    <tableColumn id="4" name="Label Name" dataDxfId="2377"/>
    <tableColumn id="5" name="Amount" dataDxfId="2376" dataCellStyle="40% - Accent6"/>
  </tableColumns>
  <tableStyleInfo name="TableStyleLight18" showFirstColumn="0" showLastColumn="0" showRowStripes="1" showColumnStripes="0"/>
</table>
</file>

<file path=xl/tables/table505.xml><?xml version="1.0" encoding="utf-8"?>
<table xmlns="http://schemas.openxmlformats.org/spreadsheetml/2006/main" id="505" name="Rehab_63" displayName="Rehab_63" ref="A144:D159" totalsRowShown="0" headerRowDxfId="2375" dataDxfId="2373" headerRowBorderDxfId="2374" tableBorderDxfId="2372" headerRowCellStyle="40% - Accent6">
  <autoFilter ref="A144:D159"/>
  <tableColumns count="4">
    <tableColumn id="1" name="Expense" dataDxfId="2371"/>
    <tableColumn id="2" name="Description" dataDxfId="2370"/>
    <tableColumn id="4" name="Label Name" dataDxfId="2369"/>
    <tableColumn id="5" name="Amount" dataDxfId="2368" dataCellStyle="40% - Accent6"/>
  </tableColumns>
  <tableStyleInfo name="TableStyleLight18" showFirstColumn="0" showLastColumn="0" showRowStripes="1" showColumnStripes="0"/>
</table>
</file>

<file path=xl/tables/table506.xml><?xml version="1.0" encoding="utf-8"?>
<table xmlns="http://schemas.openxmlformats.org/spreadsheetml/2006/main" id="506" name="Grass_64" displayName="Grass_64" ref="A11:D26" totalsRowShown="0" headerRowDxfId="2367" dataDxfId="2365" headerRowBorderDxfId="2366" tableBorderDxfId="2364" headerRowCellStyle="40% - Accent6">
  <autoFilter ref="A11:D26"/>
  <tableColumns count="4">
    <tableColumn id="1" name="Expense" dataDxfId="2363"/>
    <tableColumn id="2" name="Description" dataDxfId="2362"/>
    <tableColumn id="4" name="Label Name" dataDxfId="2361"/>
    <tableColumn id="5" name="Amount" dataDxfId="2360" dataCellStyle="20% - Accent6"/>
  </tableColumns>
  <tableStyleInfo name="TableStyleLight18" showFirstColumn="0" showLastColumn="0" showRowStripes="1" showColumnStripes="0"/>
</table>
</file>

<file path=xl/tables/table507.xml><?xml version="1.0" encoding="utf-8"?>
<table xmlns="http://schemas.openxmlformats.org/spreadsheetml/2006/main" id="507" name="Tree_64" displayName="Tree_64" ref="A30:D45" totalsRowShown="0" headerRowDxfId="2359" dataDxfId="2357" headerRowBorderDxfId="2358" tableBorderDxfId="2356" headerRowCellStyle="40% - Accent6">
  <autoFilter ref="A30:D45"/>
  <tableColumns count="4">
    <tableColumn id="1" name="Expense" dataDxfId="2355"/>
    <tableColumn id="2" name="Description" dataDxfId="2354"/>
    <tableColumn id="4" name="Label Name" dataDxfId="2353"/>
    <tableColumn id="5" name="Amount" dataDxfId="2352" dataCellStyle="40% - Accent6"/>
  </tableColumns>
  <tableStyleInfo name="TableStyleLight18" showFirstColumn="0" showLastColumn="0" showRowStripes="1" showColumnStripes="0"/>
</table>
</file>

<file path=xl/tables/table508.xml><?xml version="1.0" encoding="utf-8"?>
<table xmlns="http://schemas.openxmlformats.org/spreadsheetml/2006/main" id="508" name="Pest_64" displayName="Pest_64" ref="A49:D64" totalsRowShown="0" headerRowDxfId="2351" dataDxfId="2349" headerRowBorderDxfId="2350" tableBorderDxfId="2348" headerRowCellStyle="40% - Accent6">
  <autoFilter ref="A49:D64"/>
  <tableColumns count="4">
    <tableColumn id="1" name="Expense" dataDxfId="2347"/>
    <tableColumn id="2" name="Description" dataDxfId="2346"/>
    <tableColumn id="4" name="Label Name" dataDxfId="2345"/>
    <tableColumn id="5" name="Amount" dataDxfId="2344" dataCellStyle="40% - Accent6"/>
  </tableColumns>
  <tableStyleInfo name="TableStyleLight18" showFirstColumn="0" showLastColumn="0" showRowStripes="1" showColumnStripes="0"/>
</table>
</file>

<file path=xl/tables/table509.xml><?xml version="1.0" encoding="utf-8"?>
<table xmlns="http://schemas.openxmlformats.org/spreadsheetml/2006/main" id="509" name="Garbage_64" displayName="Garbage_64" ref="A68:D83" totalsRowShown="0" headerRowDxfId="2343" dataDxfId="2341" headerRowBorderDxfId="2342" tableBorderDxfId="2340" headerRowCellStyle="40% - Accent6">
  <autoFilter ref="A68:D83"/>
  <tableColumns count="4">
    <tableColumn id="1" name="Expense" dataDxfId="2339"/>
    <tableColumn id="2" name="Description" dataDxfId="2338"/>
    <tableColumn id="4" name="Label Name" dataDxfId="2337"/>
    <tableColumn id="5" name="Amount" dataDxfId="2336" dataCellStyle="20% - Accent6"/>
  </tableColumns>
  <tableStyleInfo name="TableStyleLight18" showFirstColumn="0" showLastColumn="0" showRowStripes="1" showColumnStripes="0"/>
</table>
</file>

<file path=xl/tables/table51.xml><?xml version="1.0" encoding="utf-8"?>
<table xmlns="http://schemas.openxmlformats.org/spreadsheetml/2006/main" id="116" name="Tree_7" displayName="Tree_7" ref="A30:D45" totalsRowShown="0" headerRowDxfId="6007" dataDxfId="6005" headerRowBorderDxfId="6006" tableBorderDxfId="6004" headerRowCellStyle="40% - Accent6">
  <autoFilter ref="A30:D45"/>
  <tableColumns count="4">
    <tableColumn id="1" name="Expense" dataDxfId="6003"/>
    <tableColumn id="2" name="Description" dataDxfId="6002"/>
    <tableColumn id="4" name="Label Name" dataDxfId="6001"/>
    <tableColumn id="5" name="Amount" dataDxfId="6000" dataCellStyle="40% - Accent6"/>
  </tableColumns>
  <tableStyleInfo name="TableStyleLight18" showFirstColumn="0" showLastColumn="0" showRowStripes="1" showColumnStripes="0"/>
</table>
</file>

<file path=xl/tables/table510.xml><?xml version="1.0" encoding="utf-8"?>
<table xmlns="http://schemas.openxmlformats.org/spreadsheetml/2006/main" id="510" name="Boarding_64" displayName="Boarding_64" ref="A87:D102" totalsRowShown="0" headerRowDxfId="2335" dataDxfId="2333" headerRowBorderDxfId="2334" tableBorderDxfId="2332" headerRowCellStyle="40% - Accent6">
  <autoFilter ref="A87:D102"/>
  <tableColumns count="4">
    <tableColumn id="1" name="Expense" dataDxfId="2331"/>
    <tableColumn id="2" name="Description" dataDxfId="2330"/>
    <tableColumn id="4" name="Label Name" dataDxfId="2329"/>
    <tableColumn id="5" name="Amount" dataDxfId="2328" dataCellStyle="40% - Accent6"/>
  </tableColumns>
  <tableStyleInfo name="TableStyleLight18" showFirstColumn="0" showLastColumn="0" showRowStripes="1" showColumnStripes="0"/>
</table>
</file>

<file path=xl/tables/table511.xml><?xml version="1.0" encoding="utf-8"?>
<table xmlns="http://schemas.openxmlformats.org/spreadsheetml/2006/main" id="511" name="Fence_64" displayName="Fence_64" ref="A106:D121" totalsRowShown="0" headerRowDxfId="2327" dataDxfId="2325" headerRowBorderDxfId="2326" tableBorderDxfId="2324" headerRowCellStyle="40% - Accent6">
  <autoFilter ref="A106:D121"/>
  <tableColumns count="4">
    <tableColumn id="1" name="Expense" dataDxfId="2323"/>
    <tableColumn id="2" name="Description" dataDxfId="2322"/>
    <tableColumn id="4" name="Label Name" dataDxfId="2321"/>
    <tableColumn id="5" name="Amount" dataDxfId="2320" dataCellStyle="40% - Accent6"/>
  </tableColumns>
  <tableStyleInfo name="TableStyleLight18" showFirstColumn="0" showLastColumn="0" showRowStripes="1" showColumnStripes="0"/>
</table>
</file>

<file path=xl/tables/table512.xml><?xml version="1.0" encoding="utf-8"?>
<table xmlns="http://schemas.openxmlformats.org/spreadsheetml/2006/main" id="512" name="Demolition_64" displayName="Demolition_64" ref="A125:D140" totalsRowShown="0" headerRowDxfId="2319" dataDxfId="2317" headerRowBorderDxfId="2318" tableBorderDxfId="2316" headerRowCellStyle="40% - Accent6">
  <autoFilter ref="A125:D140"/>
  <tableColumns count="4">
    <tableColumn id="1" name="Expense" dataDxfId="2315"/>
    <tableColumn id="2" name="Description" dataDxfId="2314"/>
    <tableColumn id="4" name="Label Name" dataDxfId="2313"/>
    <tableColumn id="5" name="Amount" dataDxfId="2312" dataCellStyle="40% - Accent6"/>
  </tableColumns>
  <tableStyleInfo name="TableStyleLight18" showFirstColumn="0" showLastColumn="0" showRowStripes="1" showColumnStripes="0"/>
</table>
</file>

<file path=xl/tables/table513.xml><?xml version="1.0" encoding="utf-8"?>
<table xmlns="http://schemas.openxmlformats.org/spreadsheetml/2006/main" id="513" name="Rehab_64" displayName="Rehab_64" ref="A144:D159" totalsRowShown="0" headerRowDxfId="2311" dataDxfId="2309" headerRowBorderDxfId="2310" tableBorderDxfId="2308" headerRowCellStyle="40% - Accent6">
  <autoFilter ref="A144:D159"/>
  <tableColumns count="4">
    <tableColumn id="1" name="Expense" dataDxfId="2307"/>
    <tableColumn id="2" name="Description" dataDxfId="2306"/>
    <tableColumn id="4" name="Label Name" dataDxfId="2305"/>
    <tableColumn id="5" name="Amount" dataDxfId="2304" dataCellStyle="40% - Accent6"/>
  </tableColumns>
  <tableStyleInfo name="TableStyleLight18" showFirstColumn="0" showLastColumn="0" showRowStripes="1" showColumnStripes="0"/>
</table>
</file>

<file path=xl/tables/table514.xml><?xml version="1.0" encoding="utf-8"?>
<table xmlns="http://schemas.openxmlformats.org/spreadsheetml/2006/main" id="514" name="Grass_65" displayName="Grass_65" ref="A11:D26" totalsRowShown="0" headerRowDxfId="2303" dataDxfId="2301" headerRowBorderDxfId="2302" tableBorderDxfId="2300" headerRowCellStyle="40% - Accent6">
  <autoFilter ref="A11:D26"/>
  <tableColumns count="4">
    <tableColumn id="1" name="Expense" dataDxfId="2299"/>
    <tableColumn id="2" name="Description" dataDxfId="2298"/>
    <tableColumn id="4" name="Label Name" dataDxfId="2297"/>
    <tableColumn id="5" name="Amount" dataDxfId="2296" dataCellStyle="20% - Accent6"/>
  </tableColumns>
  <tableStyleInfo name="TableStyleLight18" showFirstColumn="0" showLastColumn="0" showRowStripes="1" showColumnStripes="0"/>
</table>
</file>

<file path=xl/tables/table515.xml><?xml version="1.0" encoding="utf-8"?>
<table xmlns="http://schemas.openxmlformats.org/spreadsheetml/2006/main" id="515" name="Tree_65" displayName="Tree_65" ref="A30:D45" totalsRowShown="0" headerRowDxfId="2295" dataDxfId="2293" headerRowBorderDxfId="2294" tableBorderDxfId="2292" headerRowCellStyle="40% - Accent6">
  <autoFilter ref="A30:D45"/>
  <tableColumns count="4">
    <tableColumn id="1" name="Expense" dataDxfId="2291"/>
    <tableColumn id="2" name="Description" dataDxfId="2290"/>
    <tableColumn id="4" name="Label Name" dataDxfId="2289"/>
    <tableColumn id="5" name="Amount" dataDxfId="2288" dataCellStyle="40% - Accent6"/>
  </tableColumns>
  <tableStyleInfo name="TableStyleLight18" showFirstColumn="0" showLastColumn="0" showRowStripes="1" showColumnStripes="0"/>
</table>
</file>

<file path=xl/tables/table516.xml><?xml version="1.0" encoding="utf-8"?>
<table xmlns="http://schemas.openxmlformats.org/spreadsheetml/2006/main" id="516" name="Pest_65" displayName="Pest_65" ref="A49:D64" totalsRowShown="0" headerRowDxfId="2287" dataDxfId="2285" headerRowBorderDxfId="2286" tableBorderDxfId="2284" headerRowCellStyle="40% - Accent6">
  <autoFilter ref="A49:D64"/>
  <tableColumns count="4">
    <tableColumn id="1" name="Expense" dataDxfId="2283"/>
    <tableColumn id="2" name="Description" dataDxfId="2282"/>
    <tableColumn id="4" name="Label Name" dataDxfId="2281"/>
    <tableColumn id="5" name="Amount" dataDxfId="2280" dataCellStyle="40% - Accent6"/>
  </tableColumns>
  <tableStyleInfo name="TableStyleLight18" showFirstColumn="0" showLastColumn="0" showRowStripes="1" showColumnStripes="0"/>
</table>
</file>

<file path=xl/tables/table517.xml><?xml version="1.0" encoding="utf-8"?>
<table xmlns="http://schemas.openxmlformats.org/spreadsheetml/2006/main" id="517" name="Garbage_65" displayName="Garbage_65" ref="A68:D83" totalsRowShown="0" headerRowDxfId="2279" dataDxfId="2277" headerRowBorderDxfId="2278" tableBorderDxfId="2276" headerRowCellStyle="40% - Accent6">
  <autoFilter ref="A68:D83"/>
  <tableColumns count="4">
    <tableColumn id="1" name="Expense" dataDxfId="2275"/>
    <tableColumn id="2" name="Description" dataDxfId="2274"/>
    <tableColumn id="4" name="Label Name" dataDxfId="2273"/>
    <tableColumn id="5" name="Amount" dataDxfId="2272" dataCellStyle="20% - Accent6"/>
  </tableColumns>
  <tableStyleInfo name="TableStyleLight18" showFirstColumn="0" showLastColumn="0" showRowStripes="1" showColumnStripes="0"/>
</table>
</file>

<file path=xl/tables/table518.xml><?xml version="1.0" encoding="utf-8"?>
<table xmlns="http://schemas.openxmlformats.org/spreadsheetml/2006/main" id="518" name="Boarding_65" displayName="Boarding_65" ref="A87:D102" totalsRowShown="0" headerRowDxfId="2271" dataDxfId="2269" headerRowBorderDxfId="2270" tableBorderDxfId="2268" headerRowCellStyle="40% - Accent6">
  <autoFilter ref="A87:D102"/>
  <tableColumns count="4">
    <tableColumn id="1" name="Expense" dataDxfId="2267"/>
    <tableColumn id="2" name="Description" dataDxfId="2266"/>
    <tableColumn id="4" name="Label Name" dataDxfId="2265"/>
    <tableColumn id="5" name="Amount" dataDxfId="2264" dataCellStyle="40% - Accent6"/>
  </tableColumns>
  <tableStyleInfo name="TableStyleLight18" showFirstColumn="0" showLastColumn="0" showRowStripes="1" showColumnStripes="0"/>
</table>
</file>

<file path=xl/tables/table519.xml><?xml version="1.0" encoding="utf-8"?>
<table xmlns="http://schemas.openxmlformats.org/spreadsheetml/2006/main" id="519" name="Fence_65" displayName="Fence_65" ref="A106:D121" totalsRowShown="0" headerRowDxfId="2263" dataDxfId="2261" headerRowBorderDxfId="2262" tableBorderDxfId="2260" headerRowCellStyle="40% - Accent6">
  <autoFilter ref="A106:D121"/>
  <tableColumns count="4">
    <tableColumn id="1" name="Expense" dataDxfId="2259"/>
    <tableColumn id="2" name="Description" dataDxfId="2258"/>
    <tableColumn id="4" name="Label Name" dataDxfId="2257"/>
    <tableColumn id="5" name="Amount" dataDxfId="2256" dataCellStyle="40% - Accent6"/>
  </tableColumns>
  <tableStyleInfo name="TableStyleLight18" showFirstColumn="0" showLastColumn="0" showRowStripes="1" showColumnStripes="0"/>
</table>
</file>

<file path=xl/tables/table52.xml><?xml version="1.0" encoding="utf-8"?>
<table xmlns="http://schemas.openxmlformats.org/spreadsheetml/2006/main" id="117" name="Pest_7" displayName="Pest_7" ref="A49:D64" totalsRowShown="0" headerRowDxfId="5999" dataDxfId="5997" headerRowBorderDxfId="5998" tableBorderDxfId="5996" headerRowCellStyle="40% - Accent6">
  <autoFilter ref="A49:D64"/>
  <tableColumns count="4">
    <tableColumn id="1" name="Expense" dataDxfId="5995"/>
    <tableColumn id="2" name="Description" dataDxfId="5994"/>
    <tableColumn id="4" name="Label Name" dataDxfId="5993"/>
    <tableColumn id="5" name="Amount" dataDxfId="5992" dataCellStyle="40% - Accent6"/>
  </tableColumns>
  <tableStyleInfo name="TableStyleLight18" showFirstColumn="0" showLastColumn="0" showRowStripes="1" showColumnStripes="0"/>
</table>
</file>

<file path=xl/tables/table520.xml><?xml version="1.0" encoding="utf-8"?>
<table xmlns="http://schemas.openxmlformats.org/spreadsheetml/2006/main" id="520" name="Demolition_65" displayName="Demolition_65" ref="A125:D140" totalsRowShown="0" headerRowDxfId="2255" dataDxfId="2253" headerRowBorderDxfId="2254" tableBorderDxfId="2252" headerRowCellStyle="40% - Accent6">
  <autoFilter ref="A125:D140"/>
  <tableColumns count="4">
    <tableColumn id="1" name="Expense" dataDxfId="2251"/>
    <tableColumn id="2" name="Description" dataDxfId="2250"/>
    <tableColumn id="4" name="Label Name" dataDxfId="2249"/>
    <tableColumn id="5" name="Amount" dataDxfId="2248" dataCellStyle="40% - Accent6"/>
  </tableColumns>
  <tableStyleInfo name="TableStyleLight18" showFirstColumn="0" showLastColumn="0" showRowStripes="1" showColumnStripes="0"/>
</table>
</file>

<file path=xl/tables/table521.xml><?xml version="1.0" encoding="utf-8"?>
<table xmlns="http://schemas.openxmlformats.org/spreadsheetml/2006/main" id="521" name="Rehab_65" displayName="Rehab_65" ref="A144:D159" totalsRowShown="0" headerRowDxfId="2247" dataDxfId="2245" headerRowBorderDxfId="2246" tableBorderDxfId="2244" headerRowCellStyle="40% - Accent6">
  <autoFilter ref="A144:D159"/>
  <tableColumns count="4">
    <tableColumn id="1" name="Expense" dataDxfId="2243"/>
    <tableColumn id="2" name="Description" dataDxfId="2242"/>
    <tableColumn id="4" name="Label Name" dataDxfId="2241"/>
    <tableColumn id="5" name="Amount" dataDxfId="2240" dataCellStyle="40% - Accent6"/>
  </tableColumns>
  <tableStyleInfo name="TableStyleLight18" showFirstColumn="0" showLastColumn="0" showRowStripes="1" showColumnStripes="0"/>
</table>
</file>

<file path=xl/tables/table522.xml><?xml version="1.0" encoding="utf-8"?>
<table xmlns="http://schemas.openxmlformats.org/spreadsheetml/2006/main" id="522" name="Grass_66" displayName="Grass_66" ref="A11:D26" totalsRowShown="0" headerRowDxfId="2239" dataDxfId="2237" headerRowBorderDxfId="2238" tableBorderDxfId="2236" headerRowCellStyle="40% - Accent6">
  <autoFilter ref="A11:D26"/>
  <tableColumns count="4">
    <tableColumn id="1" name="Expense" dataDxfId="2235"/>
    <tableColumn id="2" name="Description" dataDxfId="2234"/>
    <tableColumn id="4" name="Label Name" dataDxfId="2233"/>
    <tableColumn id="5" name="Amount" dataDxfId="2232" dataCellStyle="20% - Accent6"/>
  </tableColumns>
  <tableStyleInfo name="TableStyleLight18" showFirstColumn="0" showLastColumn="0" showRowStripes="1" showColumnStripes="0"/>
</table>
</file>

<file path=xl/tables/table523.xml><?xml version="1.0" encoding="utf-8"?>
<table xmlns="http://schemas.openxmlformats.org/spreadsheetml/2006/main" id="523" name="Tree_66" displayName="Tree_66" ref="A30:D45" totalsRowShown="0" headerRowDxfId="2231" dataDxfId="2229" headerRowBorderDxfId="2230" tableBorderDxfId="2228" headerRowCellStyle="40% - Accent6">
  <autoFilter ref="A30:D45"/>
  <tableColumns count="4">
    <tableColumn id="1" name="Expense" dataDxfId="2227"/>
    <tableColumn id="2" name="Description" dataDxfId="2226"/>
    <tableColumn id="4" name="Label Name" dataDxfId="2225"/>
    <tableColumn id="5" name="Amount" dataDxfId="2224" dataCellStyle="40% - Accent6"/>
  </tableColumns>
  <tableStyleInfo name="TableStyleLight18" showFirstColumn="0" showLastColumn="0" showRowStripes="1" showColumnStripes="0"/>
</table>
</file>

<file path=xl/tables/table524.xml><?xml version="1.0" encoding="utf-8"?>
<table xmlns="http://schemas.openxmlformats.org/spreadsheetml/2006/main" id="524" name="Pest_66" displayName="Pest_66" ref="A49:D64" totalsRowShown="0" headerRowDxfId="2223" dataDxfId="2221" headerRowBorderDxfId="2222" tableBorderDxfId="2220" headerRowCellStyle="40% - Accent6">
  <autoFilter ref="A49:D64"/>
  <tableColumns count="4">
    <tableColumn id="1" name="Expense" dataDxfId="2219"/>
    <tableColumn id="2" name="Description" dataDxfId="2218"/>
    <tableColumn id="4" name="Label Name" dataDxfId="2217"/>
    <tableColumn id="5" name="Amount" dataDxfId="2216" dataCellStyle="40% - Accent6"/>
  </tableColumns>
  <tableStyleInfo name="TableStyleLight18" showFirstColumn="0" showLastColumn="0" showRowStripes="1" showColumnStripes="0"/>
</table>
</file>

<file path=xl/tables/table525.xml><?xml version="1.0" encoding="utf-8"?>
<table xmlns="http://schemas.openxmlformats.org/spreadsheetml/2006/main" id="525" name="Garbage_66" displayName="Garbage_66" ref="A68:D83" totalsRowShown="0" headerRowDxfId="2215" dataDxfId="2213" headerRowBorderDxfId="2214" tableBorderDxfId="2212" headerRowCellStyle="40% - Accent6">
  <autoFilter ref="A68:D83"/>
  <tableColumns count="4">
    <tableColumn id="1" name="Expense" dataDxfId="2211"/>
    <tableColumn id="2" name="Description" dataDxfId="2210"/>
    <tableColumn id="4" name="Label Name" dataDxfId="2209"/>
    <tableColumn id="5" name="Amount" dataDxfId="2208" dataCellStyle="20% - Accent6"/>
  </tableColumns>
  <tableStyleInfo name="TableStyleLight18" showFirstColumn="0" showLastColumn="0" showRowStripes="1" showColumnStripes="0"/>
</table>
</file>

<file path=xl/tables/table526.xml><?xml version="1.0" encoding="utf-8"?>
<table xmlns="http://schemas.openxmlformats.org/spreadsheetml/2006/main" id="526" name="Boarding_66" displayName="Boarding_66" ref="A87:D102" totalsRowShown="0" headerRowDxfId="2207" dataDxfId="2205" headerRowBorderDxfId="2206" tableBorderDxfId="2204" headerRowCellStyle="40% - Accent6">
  <autoFilter ref="A87:D102"/>
  <tableColumns count="4">
    <tableColumn id="1" name="Expense" dataDxfId="2203"/>
    <tableColumn id="2" name="Description" dataDxfId="2202"/>
    <tableColumn id="4" name="Label Name" dataDxfId="2201"/>
    <tableColumn id="5" name="Amount" dataDxfId="2200" dataCellStyle="40% - Accent6"/>
  </tableColumns>
  <tableStyleInfo name="TableStyleLight18" showFirstColumn="0" showLastColumn="0" showRowStripes="1" showColumnStripes="0"/>
</table>
</file>

<file path=xl/tables/table527.xml><?xml version="1.0" encoding="utf-8"?>
<table xmlns="http://schemas.openxmlformats.org/spreadsheetml/2006/main" id="527" name="Fence_66" displayName="Fence_66" ref="A106:D121" totalsRowShown="0" headerRowDxfId="2199" dataDxfId="2197" headerRowBorderDxfId="2198" tableBorderDxfId="2196" headerRowCellStyle="40% - Accent6">
  <autoFilter ref="A106:D121"/>
  <tableColumns count="4">
    <tableColumn id="1" name="Expense" dataDxfId="2195"/>
    <tableColumn id="2" name="Description" dataDxfId="2194"/>
    <tableColumn id="4" name="Label Name" dataDxfId="2193"/>
    <tableColumn id="5" name="Amount" dataDxfId="2192" dataCellStyle="40% - Accent6"/>
  </tableColumns>
  <tableStyleInfo name="TableStyleLight18" showFirstColumn="0" showLastColumn="0" showRowStripes="1" showColumnStripes="0"/>
</table>
</file>

<file path=xl/tables/table528.xml><?xml version="1.0" encoding="utf-8"?>
<table xmlns="http://schemas.openxmlformats.org/spreadsheetml/2006/main" id="528" name="Demolition_66" displayName="Demolition_66" ref="A125:D140" totalsRowShown="0" headerRowDxfId="2191" dataDxfId="2189" headerRowBorderDxfId="2190" tableBorderDxfId="2188" headerRowCellStyle="40% - Accent6">
  <autoFilter ref="A125:D140"/>
  <tableColumns count="4">
    <tableColumn id="1" name="Expense" dataDxfId="2187"/>
    <tableColumn id="2" name="Description" dataDxfId="2186"/>
    <tableColumn id="4" name="Label Name" dataDxfId="2185"/>
    <tableColumn id="5" name="Amount" dataDxfId="2184" dataCellStyle="40% - Accent6"/>
  </tableColumns>
  <tableStyleInfo name="TableStyleLight18" showFirstColumn="0" showLastColumn="0" showRowStripes="1" showColumnStripes="0"/>
</table>
</file>

<file path=xl/tables/table529.xml><?xml version="1.0" encoding="utf-8"?>
<table xmlns="http://schemas.openxmlformats.org/spreadsheetml/2006/main" id="529" name="Rehab_66" displayName="Rehab_66" ref="A144:D159" totalsRowShown="0" headerRowDxfId="2183" dataDxfId="2181" headerRowBorderDxfId="2182" tableBorderDxfId="2180" headerRowCellStyle="40% - Accent6">
  <autoFilter ref="A144:D159"/>
  <tableColumns count="4">
    <tableColumn id="1" name="Expense" dataDxfId="2179"/>
    <tableColumn id="2" name="Description" dataDxfId="2178"/>
    <tableColumn id="4" name="Label Name" dataDxfId="2177"/>
    <tableColumn id="5" name="Amount" dataDxfId="2176" dataCellStyle="40% - Accent6"/>
  </tableColumns>
  <tableStyleInfo name="TableStyleLight18" showFirstColumn="0" showLastColumn="0" showRowStripes="1" showColumnStripes="0"/>
</table>
</file>

<file path=xl/tables/table53.xml><?xml version="1.0" encoding="utf-8"?>
<table xmlns="http://schemas.openxmlformats.org/spreadsheetml/2006/main" id="118" name="Garbage_7" displayName="Garbage_7" ref="A68:D83" totalsRowShown="0" headerRowDxfId="5991" dataDxfId="5989" headerRowBorderDxfId="5990" tableBorderDxfId="5988" headerRowCellStyle="40% - Accent6">
  <autoFilter ref="A68:D83"/>
  <tableColumns count="4">
    <tableColumn id="1" name="Expense" dataDxfId="5987"/>
    <tableColumn id="2" name="Description" dataDxfId="5986"/>
    <tableColumn id="4" name="Label Name" dataDxfId="5985"/>
    <tableColumn id="5" name="Amount" dataDxfId="5984" dataCellStyle="20% - Accent6"/>
  </tableColumns>
  <tableStyleInfo name="TableStyleLight18" showFirstColumn="0" showLastColumn="0" showRowStripes="1" showColumnStripes="0"/>
</table>
</file>

<file path=xl/tables/table530.xml><?xml version="1.0" encoding="utf-8"?>
<table xmlns="http://schemas.openxmlformats.org/spreadsheetml/2006/main" id="530" name="Grass_67" displayName="Grass_67" ref="A11:D26" totalsRowShown="0" headerRowDxfId="2175" dataDxfId="2173" headerRowBorderDxfId="2174" tableBorderDxfId="2172" headerRowCellStyle="40% - Accent6">
  <autoFilter ref="A11:D26"/>
  <tableColumns count="4">
    <tableColumn id="1" name="Expense" dataDxfId="2171"/>
    <tableColumn id="2" name="Description" dataDxfId="2170"/>
    <tableColumn id="4" name="Label Name" dataDxfId="2169"/>
    <tableColumn id="5" name="Amount" dataDxfId="2168" dataCellStyle="20% - Accent6"/>
  </tableColumns>
  <tableStyleInfo name="TableStyleLight18" showFirstColumn="0" showLastColumn="0" showRowStripes="1" showColumnStripes="0"/>
</table>
</file>

<file path=xl/tables/table531.xml><?xml version="1.0" encoding="utf-8"?>
<table xmlns="http://schemas.openxmlformats.org/spreadsheetml/2006/main" id="531" name="Tree_67" displayName="Tree_67" ref="A30:D45" totalsRowShown="0" headerRowDxfId="2167" dataDxfId="2165" headerRowBorderDxfId="2166" tableBorderDxfId="2164" headerRowCellStyle="40% - Accent6">
  <autoFilter ref="A30:D45"/>
  <tableColumns count="4">
    <tableColumn id="1" name="Expense" dataDxfId="2163"/>
    <tableColumn id="2" name="Description" dataDxfId="2162"/>
    <tableColumn id="4" name="Label Name" dataDxfId="2161"/>
    <tableColumn id="5" name="Amount" dataDxfId="2160" dataCellStyle="40% - Accent6"/>
  </tableColumns>
  <tableStyleInfo name="TableStyleLight18" showFirstColumn="0" showLastColumn="0" showRowStripes="1" showColumnStripes="0"/>
</table>
</file>

<file path=xl/tables/table532.xml><?xml version="1.0" encoding="utf-8"?>
<table xmlns="http://schemas.openxmlformats.org/spreadsheetml/2006/main" id="532" name="Pest_67" displayName="Pest_67" ref="A49:D64" totalsRowShown="0" headerRowDxfId="2159" dataDxfId="2157" headerRowBorderDxfId="2158" tableBorderDxfId="2156" headerRowCellStyle="40% - Accent6">
  <autoFilter ref="A49:D64"/>
  <tableColumns count="4">
    <tableColumn id="1" name="Expense" dataDxfId="2155"/>
    <tableColumn id="2" name="Description" dataDxfId="2154"/>
    <tableColumn id="4" name="Label Name" dataDxfId="2153"/>
    <tableColumn id="5" name="Amount" dataDxfId="2152" dataCellStyle="40% - Accent6"/>
  </tableColumns>
  <tableStyleInfo name="TableStyleLight18" showFirstColumn="0" showLastColumn="0" showRowStripes="1" showColumnStripes="0"/>
</table>
</file>

<file path=xl/tables/table533.xml><?xml version="1.0" encoding="utf-8"?>
<table xmlns="http://schemas.openxmlformats.org/spreadsheetml/2006/main" id="533" name="Garbage_67" displayName="Garbage_67" ref="A68:D83" totalsRowShown="0" headerRowDxfId="2151" dataDxfId="2149" headerRowBorderDxfId="2150" tableBorderDxfId="2148" headerRowCellStyle="40% - Accent6">
  <autoFilter ref="A68:D83"/>
  <tableColumns count="4">
    <tableColumn id="1" name="Expense" dataDxfId="2147"/>
    <tableColumn id="2" name="Description" dataDxfId="2146"/>
    <tableColumn id="4" name="Label Name" dataDxfId="2145"/>
    <tableColumn id="5" name="Amount" dataDxfId="2144" dataCellStyle="20% - Accent6"/>
  </tableColumns>
  <tableStyleInfo name="TableStyleLight18" showFirstColumn="0" showLastColumn="0" showRowStripes="1" showColumnStripes="0"/>
</table>
</file>

<file path=xl/tables/table534.xml><?xml version="1.0" encoding="utf-8"?>
<table xmlns="http://schemas.openxmlformats.org/spreadsheetml/2006/main" id="534" name="Boarding_67" displayName="Boarding_67" ref="A87:D102" totalsRowShown="0" headerRowDxfId="2143" dataDxfId="2141" headerRowBorderDxfId="2142" tableBorderDxfId="2140" headerRowCellStyle="40% - Accent6">
  <autoFilter ref="A87:D102"/>
  <tableColumns count="4">
    <tableColumn id="1" name="Expense" dataDxfId="2139"/>
    <tableColumn id="2" name="Description" dataDxfId="2138"/>
    <tableColumn id="4" name="Label Name" dataDxfId="2137"/>
    <tableColumn id="5" name="Amount" dataDxfId="2136" dataCellStyle="40% - Accent6"/>
  </tableColumns>
  <tableStyleInfo name="TableStyleLight18" showFirstColumn="0" showLastColumn="0" showRowStripes="1" showColumnStripes="0"/>
</table>
</file>

<file path=xl/tables/table535.xml><?xml version="1.0" encoding="utf-8"?>
<table xmlns="http://schemas.openxmlformats.org/spreadsheetml/2006/main" id="535" name="Fence_67" displayName="Fence_67" ref="A106:D121" totalsRowShown="0" headerRowDxfId="2135" dataDxfId="2133" headerRowBorderDxfId="2134" tableBorderDxfId="2132" headerRowCellStyle="40% - Accent6">
  <autoFilter ref="A106:D121"/>
  <tableColumns count="4">
    <tableColumn id="1" name="Expense" dataDxfId="2131"/>
    <tableColumn id="2" name="Description" dataDxfId="2130"/>
    <tableColumn id="4" name="Label Name" dataDxfId="2129"/>
    <tableColumn id="5" name="Amount" dataDxfId="2128" dataCellStyle="40% - Accent6"/>
  </tableColumns>
  <tableStyleInfo name="TableStyleLight18" showFirstColumn="0" showLastColumn="0" showRowStripes="1" showColumnStripes="0"/>
</table>
</file>

<file path=xl/tables/table536.xml><?xml version="1.0" encoding="utf-8"?>
<table xmlns="http://schemas.openxmlformats.org/spreadsheetml/2006/main" id="536" name="Demolition_67" displayName="Demolition_67" ref="A125:D140" totalsRowShown="0" headerRowDxfId="2127" dataDxfId="2125" headerRowBorderDxfId="2126" tableBorderDxfId="2124" headerRowCellStyle="40% - Accent6">
  <autoFilter ref="A125:D140"/>
  <tableColumns count="4">
    <tableColumn id="1" name="Expense" dataDxfId="2123"/>
    <tableColumn id="2" name="Description" dataDxfId="2122"/>
    <tableColumn id="4" name="Label Name" dataDxfId="2121"/>
    <tableColumn id="5" name="Amount" dataDxfId="2120" dataCellStyle="40% - Accent6"/>
  </tableColumns>
  <tableStyleInfo name="TableStyleLight18" showFirstColumn="0" showLastColumn="0" showRowStripes="1" showColumnStripes="0"/>
</table>
</file>

<file path=xl/tables/table537.xml><?xml version="1.0" encoding="utf-8"?>
<table xmlns="http://schemas.openxmlformats.org/spreadsheetml/2006/main" id="537" name="Rehab_67" displayName="Rehab_67" ref="A144:D159" totalsRowShown="0" headerRowDxfId="2119" dataDxfId="2117" headerRowBorderDxfId="2118" tableBorderDxfId="2116" headerRowCellStyle="40% - Accent6">
  <autoFilter ref="A144:D159"/>
  <tableColumns count="4">
    <tableColumn id="1" name="Expense" dataDxfId="2115"/>
    <tableColumn id="2" name="Description" dataDxfId="2114"/>
    <tableColumn id="4" name="Label Name" dataDxfId="2113"/>
    <tableColumn id="5" name="Amount" dataDxfId="2112" dataCellStyle="40% - Accent6"/>
  </tableColumns>
  <tableStyleInfo name="TableStyleLight18" showFirstColumn="0" showLastColumn="0" showRowStripes="1" showColumnStripes="0"/>
</table>
</file>

<file path=xl/tables/table538.xml><?xml version="1.0" encoding="utf-8"?>
<table xmlns="http://schemas.openxmlformats.org/spreadsheetml/2006/main" id="538" name="Grass_68" displayName="Grass_68" ref="A11:D26" totalsRowShown="0" headerRowDxfId="2111" dataDxfId="2109" headerRowBorderDxfId="2110" tableBorderDxfId="2108" headerRowCellStyle="40% - Accent6">
  <autoFilter ref="A11:D26"/>
  <tableColumns count="4">
    <tableColumn id="1" name="Expense" dataDxfId="2107"/>
    <tableColumn id="2" name="Description" dataDxfId="2106"/>
    <tableColumn id="4" name="Label Name" dataDxfId="2105"/>
    <tableColumn id="5" name="Amount" dataDxfId="2104" dataCellStyle="20% - Accent6"/>
  </tableColumns>
  <tableStyleInfo name="TableStyleLight18" showFirstColumn="0" showLastColumn="0" showRowStripes="1" showColumnStripes="0"/>
</table>
</file>

<file path=xl/tables/table539.xml><?xml version="1.0" encoding="utf-8"?>
<table xmlns="http://schemas.openxmlformats.org/spreadsheetml/2006/main" id="539" name="Tree_68" displayName="Tree_68" ref="A30:D45" totalsRowShown="0" headerRowDxfId="2103" dataDxfId="2101" headerRowBorderDxfId="2102" tableBorderDxfId="2100" headerRowCellStyle="40% - Accent6">
  <autoFilter ref="A30:D45"/>
  <tableColumns count="4">
    <tableColumn id="1" name="Expense" dataDxfId="2099"/>
    <tableColumn id="2" name="Description" dataDxfId="2098"/>
    <tableColumn id="4" name="Label Name" dataDxfId="2097"/>
    <tableColumn id="5" name="Amount" dataDxfId="2096" dataCellStyle="40% - Accent6"/>
  </tableColumns>
  <tableStyleInfo name="TableStyleLight18" showFirstColumn="0" showLastColumn="0" showRowStripes="1" showColumnStripes="0"/>
</table>
</file>

<file path=xl/tables/table54.xml><?xml version="1.0" encoding="utf-8"?>
<table xmlns="http://schemas.openxmlformats.org/spreadsheetml/2006/main" id="119" name="Boarding_7" displayName="Boarding_7" ref="A87:D102" totalsRowShown="0" headerRowDxfId="5983" dataDxfId="5981" headerRowBorderDxfId="5982" tableBorderDxfId="5980" headerRowCellStyle="40% - Accent6">
  <autoFilter ref="A87:D102"/>
  <tableColumns count="4">
    <tableColumn id="1" name="Expense" dataDxfId="5979"/>
    <tableColumn id="2" name="Description" dataDxfId="5978"/>
    <tableColumn id="4" name="Label Name" dataDxfId="5977"/>
    <tableColumn id="5" name="Amount" dataDxfId="5976" dataCellStyle="40% - Accent6"/>
  </tableColumns>
  <tableStyleInfo name="TableStyleLight18" showFirstColumn="0" showLastColumn="0" showRowStripes="1" showColumnStripes="0"/>
</table>
</file>

<file path=xl/tables/table540.xml><?xml version="1.0" encoding="utf-8"?>
<table xmlns="http://schemas.openxmlformats.org/spreadsheetml/2006/main" id="540" name="Pest_68" displayName="Pest_68" ref="A49:D64" totalsRowShown="0" headerRowDxfId="2095" dataDxfId="2093" headerRowBorderDxfId="2094" tableBorderDxfId="2092" headerRowCellStyle="40% - Accent6">
  <autoFilter ref="A49:D64"/>
  <tableColumns count="4">
    <tableColumn id="1" name="Expense" dataDxfId="2091"/>
    <tableColumn id="2" name="Description" dataDxfId="2090"/>
    <tableColumn id="4" name="Label Name" dataDxfId="2089"/>
    <tableColumn id="5" name="Amount" dataDxfId="2088" dataCellStyle="40% - Accent6"/>
  </tableColumns>
  <tableStyleInfo name="TableStyleLight18" showFirstColumn="0" showLastColumn="0" showRowStripes="1" showColumnStripes="0"/>
</table>
</file>

<file path=xl/tables/table541.xml><?xml version="1.0" encoding="utf-8"?>
<table xmlns="http://schemas.openxmlformats.org/spreadsheetml/2006/main" id="541" name="Garbage_68" displayName="Garbage_68" ref="A68:D83" totalsRowShown="0" headerRowDxfId="2087" dataDxfId="2085" headerRowBorderDxfId="2086" tableBorderDxfId="2084" headerRowCellStyle="40% - Accent6">
  <autoFilter ref="A68:D83"/>
  <tableColumns count="4">
    <tableColumn id="1" name="Expense" dataDxfId="2083"/>
    <tableColumn id="2" name="Description" dataDxfId="2082"/>
    <tableColumn id="4" name="Label Name" dataDxfId="2081"/>
    <tableColumn id="5" name="Amount" dataDxfId="2080" dataCellStyle="20% - Accent6"/>
  </tableColumns>
  <tableStyleInfo name="TableStyleLight18" showFirstColumn="0" showLastColumn="0" showRowStripes="1" showColumnStripes="0"/>
</table>
</file>

<file path=xl/tables/table542.xml><?xml version="1.0" encoding="utf-8"?>
<table xmlns="http://schemas.openxmlformats.org/spreadsheetml/2006/main" id="542" name="Boarding_68" displayName="Boarding_68" ref="A87:D102" totalsRowShown="0" headerRowDxfId="2079" dataDxfId="2077" headerRowBorderDxfId="2078" tableBorderDxfId="2076" headerRowCellStyle="40% - Accent6">
  <autoFilter ref="A87:D102"/>
  <tableColumns count="4">
    <tableColumn id="1" name="Expense" dataDxfId="2075"/>
    <tableColumn id="2" name="Description" dataDxfId="2074"/>
    <tableColumn id="4" name="Label Name" dataDxfId="2073"/>
    <tableColumn id="5" name="Amount" dataDxfId="2072" dataCellStyle="40% - Accent6"/>
  </tableColumns>
  <tableStyleInfo name="TableStyleLight18" showFirstColumn="0" showLastColumn="0" showRowStripes="1" showColumnStripes="0"/>
</table>
</file>

<file path=xl/tables/table543.xml><?xml version="1.0" encoding="utf-8"?>
<table xmlns="http://schemas.openxmlformats.org/spreadsheetml/2006/main" id="543" name="Fence_68" displayName="Fence_68" ref="A106:D121" totalsRowShown="0" headerRowDxfId="2071" dataDxfId="2069" headerRowBorderDxfId="2070" tableBorderDxfId="2068" headerRowCellStyle="40% - Accent6">
  <autoFilter ref="A106:D121"/>
  <tableColumns count="4">
    <tableColumn id="1" name="Expense" dataDxfId="2067"/>
    <tableColumn id="2" name="Description" dataDxfId="2066"/>
    <tableColumn id="4" name="Label Name" dataDxfId="2065"/>
    <tableColumn id="5" name="Amount" dataDxfId="2064" dataCellStyle="40% - Accent6"/>
  </tableColumns>
  <tableStyleInfo name="TableStyleLight18" showFirstColumn="0" showLastColumn="0" showRowStripes="1" showColumnStripes="0"/>
</table>
</file>

<file path=xl/tables/table544.xml><?xml version="1.0" encoding="utf-8"?>
<table xmlns="http://schemas.openxmlformats.org/spreadsheetml/2006/main" id="544" name="Demolition_68" displayName="Demolition_68" ref="A125:D140" totalsRowShown="0" headerRowDxfId="2063" dataDxfId="2061" headerRowBorderDxfId="2062" tableBorderDxfId="2060" headerRowCellStyle="40% - Accent6">
  <autoFilter ref="A125:D140"/>
  <tableColumns count="4">
    <tableColumn id="1" name="Expense" dataDxfId="2059"/>
    <tableColumn id="2" name="Description" dataDxfId="2058"/>
    <tableColumn id="4" name="Label Name" dataDxfId="2057"/>
    <tableColumn id="5" name="Amount" dataDxfId="2056" dataCellStyle="40% - Accent6"/>
  </tableColumns>
  <tableStyleInfo name="TableStyleLight18" showFirstColumn="0" showLastColumn="0" showRowStripes="1" showColumnStripes="0"/>
</table>
</file>

<file path=xl/tables/table545.xml><?xml version="1.0" encoding="utf-8"?>
<table xmlns="http://schemas.openxmlformats.org/spreadsheetml/2006/main" id="545" name="Rehab_68" displayName="Rehab_68" ref="A144:D159" totalsRowShown="0" headerRowDxfId="2055" dataDxfId="2053" headerRowBorderDxfId="2054" tableBorderDxfId="2052" headerRowCellStyle="40% - Accent6">
  <autoFilter ref="A144:D159"/>
  <tableColumns count="4">
    <tableColumn id="1" name="Expense" dataDxfId="2051"/>
    <tableColumn id="2" name="Description" dataDxfId="2050"/>
    <tableColumn id="4" name="Label Name" dataDxfId="2049"/>
    <tableColumn id="5" name="Amount" dataDxfId="2048" dataCellStyle="40% - Accent6"/>
  </tableColumns>
  <tableStyleInfo name="TableStyleLight18" showFirstColumn="0" showLastColumn="0" showRowStripes="1" showColumnStripes="0"/>
</table>
</file>

<file path=xl/tables/table546.xml><?xml version="1.0" encoding="utf-8"?>
<table xmlns="http://schemas.openxmlformats.org/spreadsheetml/2006/main" id="546" name="Grass_69" displayName="Grass_69" ref="A11:D26" totalsRowShown="0" headerRowDxfId="2047" dataDxfId="2045" headerRowBorderDxfId="2046" tableBorderDxfId="2044" headerRowCellStyle="40% - Accent6">
  <autoFilter ref="A11:D26"/>
  <tableColumns count="4">
    <tableColumn id="1" name="Expense" dataDxfId="2043"/>
    <tableColumn id="2" name="Description" dataDxfId="2042"/>
    <tableColumn id="4" name="Label Name" dataDxfId="2041"/>
    <tableColumn id="5" name="Amount" dataDxfId="2040" dataCellStyle="20% - Accent6"/>
  </tableColumns>
  <tableStyleInfo name="TableStyleLight18" showFirstColumn="0" showLastColumn="0" showRowStripes="1" showColumnStripes="0"/>
</table>
</file>

<file path=xl/tables/table547.xml><?xml version="1.0" encoding="utf-8"?>
<table xmlns="http://schemas.openxmlformats.org/spreadsheetml/2006/main" id="547" name="Tree_69" displayName="Tree_69" ref="A30:D45" totalsRowShown="0" headerRowDxfId="2039" dataDxfId="2037" headerRowBorderDxfId="2038" tableBorderDxfId="2036" headerRowCellStyle="40% - Accent6">
  <autoFilter ref="A30:D45"/>
  <tableColumns count="4">
    <tableColumn id="1" name="Expense" dataDxfId="2035"/>
    <tableColumn id="2" name="Description" dataDxfId="2034"/>
    <tableColumn id="4" name="Label Name" dataDxfId="2033"/>
    <tableColumn id="5" name="Amount" dataDxfId="2032" dataCellStyle="40% - Accent6"/>
  </tableColumns>
  <tableStyleInfo name="TableStyleLight18" showFirstColumn="0" showLastColumn="0" showRowStripes="1" showColumnStripes="0"/>
</table>
</file>

<file path=xl/tables/table548.xml><?xml version="1.0" encoding="utf-8"?>
<table xmlns="http://schemas.openxmlformats.org/spreadsheetml/2006/main" id="548" name="Pest_69" displayName="Pest_69" ref="A49:D64" totalsRowShown="0" headerRowDxfId="2031" dataDxfId="2029" headerRowBorderDxfId="2030" tableBorderDxfId="2028" headerRowCellStyle="40% - Accent6">
  <autoFilter ref="A49:D64"/>
  <tableColumns count="4">
    <tableColumn id="1" name="Expense" dataDxfId="2027"/>
    <tableColumn id="2" name="Description" dataDxfId="2026"/>
    <tableColumn id="4" name="Label Name" dataDxfId="2025"/>
    <tableColumn id="5" name="Amount" dataDxfId="2024" dataCellStyle="40% - Accent6"/>
  </tableColumns>
  <tableStyleInfo name="TableStyleLight18" showFirstColumn="0" showLastColumn="0" showRowStripes="1" showColumnStripes="0"/>
</table>
</file>

<file path=xl/tables/table549.xml><?xml version="1.0" encoding="utf-8"?>
<table xmlns="http://schemas.openxmlformats.org/spreadsheetml/2006/main" id="549" name="Garbage_69" displayName="Garbage_69" ref="A68:D83" totalsRowShown="0" headerRowDxfId="2023" dataDxfId="2021" headerRowBorderDxfId="2022" tableBorderDxfId="2020" headerRowCellStyle="40% - Accent6">
  <autoFilter ref="A68:D83"/>
  <tableColumns count="4">
    <tableColumn id="1" name="Expense" dataDxfId="2019"/>
    <tableColumn id="2" name="Description" dataDxfId="2018"/>
    <tableColumn id="4" name="Label Name" dataDxfId="2017"/>
    <tableColumn id="5" name="Amount" dataDxfId="2016" dataCellStyle="20% - Accent6"/>
  </tableColumns>
  <tableStyleInfo name="TableStyleLight18" showFirstColumn="0" showLastColumn="0" showRowStripes="1" showColumnStripes="0"/>
</table>
</file>

<file path=xl/tables/table55.xml><?xml version="1.0" encoding="utf-8"?>
<table xmlns="http://schemas.openxmlformats.org/spreadsheetml/2006/main" id="120" name="Fence_7" displayName="Fence_7" ref="A106:D121" totalsRowShown="0" headerRowDxfId="5975" dataDxfId="5973" headerRowBorderDxfId="5974" tableBorderDxfId="5972" headerRowCellStyle="40% - Accent6">
  <autoFilter ref="A106:D121"/>
  <tableColumns count="4">
    <tableColumn id="1" name="Expense" dataDxfId="5971"/>
    <tableColumn id="2" name="Description" dataDxfId="5970"/>
    <tableColumn id="4" name="Label Name" dataDxfId="5969"/>
    <tableColumn id="5" name="Amount" dataDxfId="5968" dataCellStyle="40% - Accent6"/>
  </tableColumns>
  <tableStyleInfo name="TableStyleLight18" showFirstColumn="0" showLastColumn="0" showRowStripes="1" showColumnStripes="0"/>
</table>
</file>

<file path=xl/tables/table550.xml><?xml version="1.0" encoding="utf-8"?>
<table xmlns="http://schemas.openxmlformats.org/spreadsheetml/2006/main" id="550" name="Boarding_69" displayName="Boarding_69" ref="A87:D102" totalsRowShown="0" headerRowDxfId="2015" dataDxfId="2013" headerRowBorderDxfId="2014" tableBorderDxfId="2012" headerRowCellStyle="40% - Accent6">
  <autoFilter ref="A87:D102"/>
  <tableColumns count="4">
    <tableColumn id="1" name="Expense" dataDxfId="2011"/>
    <tableColumn id="2" name="Description" dataDxfId="2010"/>
    <tableColumn id="4" name="Label Name" dataDxfId="2009"/>
    <tableColumn id="5" name="Amount" dataDxfId="2008" dataCellStyle="40% - Accent6"/>
  </tableColumns>
  <tableStyleInfo name="TableStyleLight18" showFirstColumn="0" showLastColumn="0" showRowStripes="1" showColumnStripes="0"/>
</table>
</file>

<file path=xl/tables/table551.xml><?xml version="1.0" encoding="utf-8"?>
<table xmlns="http://schemas.openxmlformats.org/spreadsheetml/2006/main" id="551" name="Fence_69" displayName="Fence_69" ref="A106:D121" totalsRowShown="0" headerRowDxfId="2007" dataDxfId="2005" headerRowBorderDxfId="2006" tableBorderDxfId="2004" headerRowCellStyle="40% - Accent6">
  <autoFilter ref="A106:D121"/>
  <tableColumns count="4">
    <tableColumn id="1" name="Expense" dataDxfId="2003"/>
    <tableColumn id="2" name="Description" dataDxfId="2002"/>
    <tableColumn id="4" name="Label Name" dataDxfId="2001"/>
    <tableColumn id="5" name="Amount" dataDxfId="2000" dataCellStyle="40% - Accent6"/>
  </tableColumns>
  <tableStyleInfo name="TableStyleLight18" showFirstColumn="0" showLastColumn="0" showRowStripes="1" showColumnStripes="0"/>
</table>
</file>

<file path=xl/tables/table552.xml><?xml version="1.0" encoding="utf-8"?>
<table xmlns="http://schemas.openxmlformats.org/spreadsheetml/2006/main" id="552" name="Demolition_69" displayName="Demolition_69" ref="A125:D140" totalsRowShown="0" headerRowDxfId="1999" dataDxfId="1997" headerRowBorderDxfId="1998" tableBorderDxfId="1996" headerRowCellStyle="40% - Accent6">
  <autoFilter ref="A125:D140"/>
  <tableColumns count="4">
    <tableColumn id="1" name="Expense" dataDxfId="1995"/>
    <tableColumn id="2" name="Description" dataDxfId="1994"/>
    <tableColumn id="4" name="Label Name" dataDxfId="1993"/>
    <tableColumn id="5" name="Amount" dataDxfId="1992" dataCellStyle="40% - Accent6"/>
  </tableColumns>
  <tableStyleInfo name="TableStyleLight18" showFirstColumn="0" showLastColumn="0" showRowStripes="1" showColumnStripes="0"/>
</table>
</file>

<file path=xl/tables/table553.xml><?xml version="1.0" encoding="utf-8"?>
<table xmlns="http://schemas.openxmlformats.org/spreadsheetml/2006/main" id="553" name="Rehab_69" displayName="Rehab_69" ref="A144:D159" totalsRowShown="0" headerRowDxfId="1991" dataDxfId="1989" headerRowBorderDxfId="1990" tableBorderDxfId="1988" headerRowCellStyle="40% - Accent6">
  <autoFilter ref="A144:D159"/>
  <tableColumns count="4">
    <tableColumn id="1" name="Expense" dataDxfId="1987"/>
    <tableColumn id="2" name="Description" dataDxfId="1986"/>
    <tableColumn id="4" name="Label Name" dataDxfId="1985"/>
    <tableColumn id="5" name="Amount" dataDxfId="1984" dataCellStyle="40% - Accent6"/>
  </tableColumns>
  <tableStyleInfo name="TableStyleLight18" showFirstColumn="0" showLastColumn="0" showRowStripes="1" showColumnStripes="0"/>
</table>
</file>

<file path=xl/tables/table554.xml><?xml version="1.0" encoding="utf-8"?>
<table xmlns="http://schemas.openxmlformats.org/spreadsheetml/2006/main" id="554" name="Grass_70" displayName="Grass_70" ref="A11:D26" totalsRowShown="0" headerRowDxfId="1983" dataDxfId="1981" headerRowBorderDxfId="1982" tableBorderDxfId="1980" headerRowCellStyle="40% - Accent6">
  <autoFilter ref="A11:D26"/>
  <tableColumns count="4">
    <tableColumn id="1" name="Expense" dataDxfId="1979"/>
    <tableColumn id="2" name="Description" dataDxfId="1978"/>
    <tableColumn id="4" name="Label Name" dataDxfId="1977"/>
    <tableColumn id="5" name="Amount" dataDxfId="1976" dataCellStyle="20% - Accent6"/>
  </tableColumns>
  <tableStyleInfo name="TableStyleLight18" showFirstColumn="0" showLastColumn="0" showRowStripes="1" showColumnStripes="0"/>
</table>
</file>

<file path=xl/tables/table555.xml><?xml version="1.0" encoding="utf-8"?>
<table xmlns="http://schemas.openxmlformats.org/spreadsheetml/2006/main" id="555" name="Tree_70" displayName="Tree_70" ref="A30:D45" totalsRowShown="0" headerRowDxfId="1975" dataDxfId="1973" headerRowBorderDxfId="1974" tableBorderDxfId="1972" headerRowCellStyle="40% - Accent6">
  <autoFilter ref="A30:D45"/>
  <tableColumns count="4">
    <tableColumn id="1" name="Expense" dataDxfId="1971"/>
    <tableColumn id="2" name="Description" dataDxfId="1970"/>
    <tableColumn id="4" name="Label Name" dataDxfId="1969"/>
    <tableColumn id="5" name="Amount" dataDxfId="1968" dataCellStyle="40% - Accent6"/>
  </tableColumns>
  <tableStyleInfo name="TableStyleLight18" showFirstColumn="0" showLastColumn="0" showRowStripes="1" showColumnStripes="0"/>
</table>
</file>

<file path=xl/tables/table556.xml><?xml version="1.0" encoding="utf-8"?>
<table xmlns="http://schemas.openxmlformats.org/spreadsheetml/2006/main" id="556" name="Pest_70" displayName="Pest_70" ref="A49:D64" totalsRowShown="0" headerRowDxfId="1967" dataDxfId="1965" headerRowBorderDxfId="1966" tableBorderDxfId="1964" headerRowCellStyle="40% - Accent6">
  <autoFilter ref="A49:D64"/>
  <tableColumns count="4">
    <tableColumn id="1" name="Expense" dataDxfId="1963"/>
    <tableColumn id="2" name="Description" dataDxfId="1962"/>
    <tableColumn id="4" name="Label Name" dataDxfId="1961"/>
    <tableColumn id="5" name="Amount" dataDxfId="1960" dataCellStyle="40% - Accent6"/>
  </tableColumns>
  <tableStyleInfo name="TableStyleLight18" showFirstColumn="0" showLastColumn="0" showRowStripes="1" showColumnStripes="0"/>
</table>
</file>

<file path=xl/tables/table557.xml><?xml version="1.0" encoding="utf-8"?>
<table xmlns="http://schemas.openxmlformats.org/spreadsheetml/2006/main" id="557" name="Garbage_70" displayName="Garbage_70" ref="A68:D83" totalsRowShown="0" headerRowDxfId="1959" dataDxfId="1957" headerRowBorderDxfId="1958" tableBorderDxfId="1956" headerRowCellStyle="40% - Accent6">
  <autoFilter ref="A68:D83"/>
  <tableColumns count="4">
    <tableColumn id="1" name="Expense" dataDxfId="1955"/>
    <tableColumn id="2" name="Description" dataDxfId="1954"/>
    <tableColumn id="4" name="Label Name" dataDxfId="1953"/>
    <tableColumn id="5" name="Amount" dataDxfId="1952" dataCellStyle="20% - Accent6"/>
  </tableColumns>
  <tableStyleInfo name="TableStyleLight18" showFirstColumn="0" showLastColumn="0" showRowStripes="1" showColumnStripes="0"/>
</table>
</file>

<file path=xl/tables/table558.xml><?xml version="1.0" encoding="utf-8"?>
<table xmlns="http://schemas.openxmlformats.org/spreadsheetml/2006/main" id="558" name="Boarding_70" displayName="Boarding_70" ref="A87:D102" totalsRowShown="0" headerRowDxfId="1951" dataDxfId="1949" headerRowBorderDxfId="1950" tableBorderDxfId="1948" headerRowCellStyle="40% - Accent6">
  <autoFilter ref="A87:D102"/>
  <tableColumns count="4">
    <tableColumn id="1" name="Expense" dataDxfId="1947"/>
    <tableColumn id="2" name="Description" dataDxfId="1946"/>
    <tableColumn id="4" name="Label Name" dataDxfId="1945"/>
    <tableColumn id="5" name="Amount" dataDxfId="1944" dataCellStyle="40% - Accent6"/>
  </tableColumns>
  <tableStyleInfo name="TableStyleLight18" showFirstColumn="0" showLastColumn="0" showRowStripes="1" showColumnStripes="0"/>
</table>
</file>

<file path=xl/tables/table559.xml><?xml version="1.0" encoding="utf-8"?>
<table xmlns="http://schemas.openxmlformats.org/spreadsheetml/2006/main" id="559" name="Fence_70" displayName="Fence_70" ref="A106:D121" totalsRowShown="0" headerRowDxfId="1943" dataDxfId="1941" headerRowBorderDxfId="1942" tableBorderDxfId="1940" headerRowCellStyle="40% - Accent6">
  <autoFilter ref="A106:D121"/>
  <tableColumns count="4">
    <tableColumn id="1" name="Expense" dataDxfId="1939"/>
    <tableColumn id="2" name="Description" dataDxfId="1938"/>
    <tableColumn id="4" name="Label Name" dataDxfId="1937"/>
    <tableColumn id="5" name="Amount" dataDxfId="1936" dataCellStyle="40% - Accent6"/>
  </tableColumns>
  <tableStyleInfo name="TableStyleLight18" showFirstColumn="0" showLastColumn="0" showRowStripes="1" showColumnStripes="0"/>
</table>
</file>

<file path=xl/tables/table56.xml><?xml version="1.0" encoding="utf-8"?>
<table xmlns="http://schemas.openxmlformats.org/spreadsheetml/2006/main" id="121" name="Demolition_7" displayName="Demolition_7" ref="A125:D140" totalsRowShown="0" headerRowDxfId="5967" dataDxfId="5965" headerRowBorderDxfId="5966" tableBorderDxfId="5964" headerRowCellStyle="40% - Accent6">
  <autoFilter ref="A125:D140"/>
  <tableColumns count="4">
    <tableColumn id="1" name="Expense" dataDxfId="5963"/>
    <tableColumn id="2" name="Description" dataDxfId="5962"/>
    <tableColumn id="4" name="Label Name" dataDxfId="5961"/>
    <tableColumn id="5" name="Amount" dataDxfId="5960" dataCellStyle="40% - Accent6"/>
  </tableColumns>
  <tableStyleInfo name="TableStyleLight18" showFirstColumn="0" showLastColumn="0" showRowStripes="1" showColumnStripes="0"/>
</table>
</file>

<file path=xl/tables/table560.xml><?xml version="1.0" encoding="utf-8"?>
<table xmlns="http://schemas.openxmlformats.org/spreadsheetml/2006/main" id="560" name="Demolition_70" displayName="Demolition_70" ref="A125:D140" totalsRowShown="0" headerRowDxfId="1935" dataDxfId="1933" headerRowBorderDxfId="1934" tableBorderDxfId="1932" headerRowCellStyle="40% - Accent6">
  <autoFilter ref="A125:D140"/>
  <tableColumns count="4">
    <tableColumn id="1" name="Expense" dataDxfId="1931"/>
    <tableColumn id="2" name="Description" dataDxfId="1930"/>
    <tableColumn id="4" name="Label Name" dataDxfId="1929"/>
    <tableColumn id="5" name="Amount" dataDxfId="1928" dataCellStyle="40% - Accent6"/>
  </tableColumns>
  <tableStyleInfo name="TableStyleLight18" showFirstColumn="0" showLastColumn="0" showRowStripes="1" showColumnStripes="0"/>
</table>
</file>

<file path=xl/tables/table561.xml><?xml version="1.0" encoding="utf-8"?>
<table xmlns="http://schemas.openxmlformats.org/spreadsheetml/2006/main" id="561" name="Rehab_70" displayName="Rehab_70" ref="A144:D159" totalsRowShown="0" headerRowDxfId="1927" dataDxfId="1925" headerRowBorderDxfId="1926" tableBorderDxfId="1924" headerRowCellStyle="40% - Accent6">
  <autoFilter ref="A144:D159"/>
  <tableColumns count="4">
    <tableColumn id="1" name="Expense" dataDxfId="1923"/>
    <tableColumn id="2" name="Description" dataDxfId="1922"/>
    <tableColumn id="4" name="Label Name" dataDxfId="1921"/>
    <tableColumn id="5" name="Amount" dataDxfId="1920" dataCellStyle="40% - Accent6"/>
  </tableColumns>
  <tableStyleInfo name="TableStyleLight18" showFirstColumn="0" showLastColumn="0" showRowStripes="1" showColumnStripes="0"/>
</table>
</file>

<file path=xl/tables/table562.xml><?xml version="1.0" encoding="utf-8"?>
<table xmlns="http://schemas.openxmlformats.org/spreadsheetml/2006/main" id="562" name="Grass_71" displayName="Grass_71" ref="A11:D26" totalsRowShown="0" headerRowDxfId="1919" dataDxfId="1917" headerRowBorderDxfId="1918" tableBorderDxfId="1916" headerRowCellStyle="40% - Accent6">
  <autoFilter ref="A11:D26"/>
  <tableColumns count="4">
    <tableColumn id="1" name="Expense" dataDxfId="1915"/>
    <tableColumn id="2" name="Description" dataDxfId="1914"/>
    <tableColumn id="4" name="Label Name" dataDxfId="1913"/>
    <tableColumn id="5" name="Amount" dataDxfId="1912" dataCellStyle="20% - Accent6"/>
  </tableColumns>
  <tableStyleInfo name="TableStyleLight18" showFirstColumn="0" showLastColumn="0" showRowStripes="1" showColumnStripes="0"/>
</table>
</file>

<file path=xl/tables/table563.xml><?xml version="1.0" encoding="utf-8"?>
<table xmlns="http://schemas.openxmlformats.org/spreadsheetml/2006/main" id="563" name="Tree_71" displayName="Tree_71" ref="A30:D45" totalsRowShown="0" headerRowDxfId="1911" dataDxfId="1909" headerRowBorderDxfId="1910" tableBorderDxfId="1908" headerRowCellStyle="40% - Accent6">
  <autoFilter ref="A30:D45"/>
  <tableColumns count="4">
    <tableColumn id="1" name="Expense" dataDxfId="1907"/>
    <tableColumn id="2" name="Description" dataDxfId="1906"/>
    <tableColumn id="4" name="Label Name" dataDxfId="1905"/>
    <tableColumn id="5" name="Amount" dataDxfId="1904" dataCellStyle="40% - Accent6"/>
  </tableColumns>
  <tableStyleInfo name="TableStyleLight18" showFirstColumn="0" showLastColumn="0" showRowStripes="1" showColumnStripes="0"/>
</table>
</file>

<file path=xl/tables/table564.xml><?xml version="1.0" encoding="utf-8"?>
<table xmlns="http://schemas.openxmlformats.org/spreadsheetml/2006/main" id="564" name="Pest_71" displayName="Pest_71" ref="A49:D64" totalsRowShown="0" headerRowDxfId="1903" dataDxfId="1901" headerRowBorderDxfId="1902" tableBorderDxfId="1900" headerRowCellStyle="40% - Accent6">
  <autoFilter ref="A49:D64"/>
  <tableColumns count="4">
    <tableColumn id="1" name="Expense" dataDxfId="1899"/>
    <tableColumn id="2" name="Description" dataDxfId="1898"/>
    <tableColumn id="4" name="Label Name" dataDxfId="1897"/>
    <tableColumn id="5" name="Amount" dataDxfId="1896" dataCellStyle="40% - Accent6"/>
  </tableColumns>
  <tableStyleInfo name="TableStyleLight18" showFirstColumn="0" showLastColumn="0" showRowStripes="1" showColumnStripes="0"/>
</table>
</file>

<file path=xl/tables/table565.xml><?xml version="1.0" encoding="utf-8"?>
<table xmlns="http://schemas.openxmlformats.org/spreadsheetml/2006/main" id="565" name="Garbage_71" displayName="Garbage_71" ref="A68:D83" totalsRowShown="0" headerRowDxfId="1895" dataDxfId="1893" headerRowBorderDxfId="1894" tableBorderDxfId="1892" headerRowCellStyle="40% - Accent6">
  <autoFilter ref="A68:D83"/>
  <tableColumns count="4">
    <tableColumn id="1" name="Expense" dataDxfId="1891"/>
    <tableColumn id="2" name="Description" dataDxfId="1890"/>
    <tableColumn id="4" name="Label Name" dataDxfId="1889"/>
    <tableColumn id="5" name="Amount" dataDxfId="1888" dataCellStyle="20% - Accent6"/>
  </tableColumns>
  <tableStyleInfo name="TableStyleLight18" showFirstColumn="0" showLastColumn="0" showRowStripes="1" showColumnStripes="0"/>
</table>
</file>

<file path=xl/tables/table566.xml><?xml version="1.0" encoding="utf-8"?>
<table xmlns="http://schemas.openxmlformats.org/spreadsheetml/2006/main" id="566" name="Boarding_71" displayName="Boarding_71" ref="A87:D102" totalsRowShown="0" headerRowDxfId="1887" dataDxfId="1885" headerRowBorderDxfId="1886" tableBorderDxfId="1884" headerRowCellStyle="40% - Accent6">
  <autoFilter ref="A87:D102"/>
  <tableColumns count="4">
    <tableColumn id="1" name="Expense" dataDxfId="1883"/>
    <tableColumn id="2" name="Description" dataDxfId="1882"/>
    <tableColumn id="4" name="Label Name" dataDxfId="1881"/>
    <tableColumn id="5" name="Amount" dataDxfId="1880" dataCellStyle="40% - Accent6"/>
  </tableColumns>
  <tableStyleInfo name="TableStyleLight18" showFirstColumn="0" showLastColumn="0" showRowStripes="1" showColumnStripes="0"/>
</table>
</file>

<file path=xl/tables/table567.xml><?xml version="1.0" encoding="utf-8"?>
<table xmlns="http://schemas.openxmlformats.org/spreadsheetml/2006/main" id="567" name="Fence_71" displayName="Fence_71" ref="A106:D121" totalsRowShown="0" headerRowDxfId="1879" dataDxfId="1877" headerRowBorderDxfId="1878" tableBorderDxfId="1876" headerRowCellStyle="40% - Accent6">
  <autoFilter ref="A106:D121"/>
  <tableColumns count="4">
    <tableColumn id="1" name="Expense" dataDxfId="1875"/>
    <tableColumn id="2" name="Description" dataDxfId="1874"/>
    <tableColumn id="4" name="Label Name" dataDxfId="1873"/>
    <tableColumn id="5" name="Amount" dataDxfId="1872" dataCellStyle="40% - Accent6"/>
  </tableColumns>
  <tableStyleInfo name="TableStyleLight18" showFirstColumn="0" showLastColumn="0" showRowStripes="1" showColumnStripes="0"/>
</table>
</file>

<file path=xl/tables/table568.xml><?xml version="1.0" encoding="utf-8"?>
<table xmlns="http://schemas.openxmlformats.org/spreadsheetml/2006/main" id="568" name="Demolition_71" displayName="Demolition_71" ref="A125:D140" totalsRowShown="0" headerRowDxfId="1871" dataDxfId="1869" headerRowBorderDxfId="1870" tableBorderDxfId="1868" headerRowCellStyle="40% - Accent6">
  <autoFilter ref="A125:D140"/>
  <tableColumns count="4">
    <tableColumn id="1" name="Expense" dataDxfId="1867"/>
    <tableColumn id="2" name="Description" dataDxfId="1866"/>
    <tableColumn id="4" name="Label Name" dataDxfId="1865"/>
    <tableColumn id="5" name="Amount" dataDxfId="1864" dataCellStyle="40% - Accent6"/>
  </tableColumns>
  <tableStyleInfo name="TableStyleLight18" showFirstColumn="0" showLastColumn="0" showRowStripes="1" showColumnStripes="0"/>
</table>
</file>

<file path=xl/tables/table569.xml><?xml version="1.0" encoding="utf-8"?>
<table xmlns="http://schemas.openxmlformats.org/spreadsheetml/2006/main" id="569" name="Rehab_71" displayName="Rehab_71" ref="A144:D159" totalsRowShown="0" headerRowDxfId="1863" dataDxfId="1861" headerRowBorderDxfId="1862" tableBorderDxfId="1860" headerRowCellStyle="40% - Accent6">
  <autoFilter ref="A144:D159"/>
  <tableColumns count="4">
    <tableColumn id="1" name="Expense" dataDxfId="1859"/>
    <tableColumn id="2" name="Description" dataDxfId="1858"/>
    <tableColumn id="4" name="Label Name" dataDxfId="1857"/>
    <tableColumn id="5" name="Amount" dataDxfId="1856" dataCellStyle="40% - Accent6"/>
  </tableColumns>
  <tableStyleInfo name="TableStyleLight18" showFirstColumn="0" showLastColumn="0" showRowStripes="1" showColumnStripes="0"/>
</table>
</file>

<file path=xl/tables/table57.xml><?xml version="1.0" encoding="utf-8"?>
<table xmlns="http://schemas.openxmlformats.org/spreadsheetml/2006/main" id="122" name="Rehab_7" displayName="Rehab_7" ref="A144:D159" totalsRowShown="0" headerRowDxfId="5959" dataDxfId="5957" headerRowBorderDxfId="5958" tableBorderDxfId="5956" headerRowCellStyle="40% - Accent6">
  <autoFilter ref="A144:D159"/>
  <tableColumns count="4">
    <tableColumn id="1" name="Expense" dataDxfId="5955"/>
    <tableColumn id="2" name="Description" dataDxfId="5954"/>
    <tableColumn id="4" name="Label Name" dataDxfId="5953"/>
    <tableColumn id="5" name="Amount" dataDxfId="5952" dataCellStyle="40% - Accent6"/>
  </tableColumns>
  <tableStyleInfo name="TableStyleLight18" showFirstColumn="0" showLastColumn="0" showRowStripes="1" showColumnStripes="0"/>
</table>
</file>

<file path=xl/tables/table570.xml><?xml version="1.0" encoding="utf-8"?>
<table xmlns="http://schemas.openxmlformats.org/spreadsheetml/2006/main" id="570" name="Grass_72" displayName="Grass_72" ref="A11:D26" totalsRowShown="0" headerRowDxfId="1855" dataDxfId="1853" headerRowBorderDxfId="1854" tableBorderDxfId="1852" headerRowCellStyle="40% - Accent6">
  <autoFilter ref="A11:D26"/>
  <tableColumns count="4">
    <tableColumn id="1" name="Expense" dataDxfId="1851"/>
    <tableColumn id="2" name="Description" dataDxfId="1850"/>
    <tableColumn id="4" name="Label Name" dataDxfId="1849"/>
    <tableColumn id="5" name="Amount" dataDxfId="1848" dataCellStyle="20% - Accent6"/>
  </tableColumns>
  <tableStyleInfo name="TableStyleLight18" showFirstColumn="0" showLastColumn="0" showRowStripes="1" showColumnStripes="0"/>
</table>
</file>

<file path=xl/tables/table571.xml><?xml version="1.0" encoding="utf-8"?>
<table xmlns="http://schemas.openxmlformats.org/spreadsheetml/2006/main" id="571" name="Tree_72" displayName="Tree_72" ref="A30:D45" totalsRowShown="0" headerRowDxfId="1847" dataDxfId="1845" headerRowBorderDxfId="1846" tableBorderDxfId="1844" headerRowCellStyle="40% - Accent6">
  <autoFilter ref="A30:D45"/>
  <tableColumns count="4">
    <tableColumn id="1" name="Expense" dataDxfId="1843"/>
    <tableColumn id="2" name="Description" dataDxfId="1842"/>
    <tableColumn id="4" name="Label Name" dataDxfId="1841"/>
    <tableColumn id="5" name="Amount" dataDxfId="1840" dataCellStyle="40% - Accent6"/>
  </tableColumns>
  <tableStyleInfo name="TableStyleLight18" showFirstColumn="0" showLastColumn="0" showRowStripes="1" showColumnStripes="0"/>
</table>
</file>

<file path=xl/tables/table572.xml><?xml version="1.0" encoding="utf-8"?>
<table xmlns="http://schemas.openxmlformats.org/spreadsheetml/2006/main" id="572" name="Pest_72" displayName="Pest_72" ref="A49:D64" totalsRowShown="0" headerRowDxfId="1839" dataDxfId="1837" headerRowBorderDxfId="1838" tableBorderDxfId="1836" headerRowCellStyle="40% - Accent6">
  <autoFilter ref="A49:D64"/>
  <tableColumns count="4">
    <tableColumn id="1" name="Expense" dataDxfId="1835"/>
    <tableColumn id="2" name="Description" dataDxfId="1834"/>
    <tableColumn id="4" name="Label Name" dataDxfId="1833"/>
    <tableColumn id="5" name="Amount" dataDxfId="1832" dataCellStyle="40% - Accent6"/>
  </tableColumns>
  <tableStyleInfo name="TableStyleLight18" showFirstColumn="0" showLastColumn="0" showRowStripes="1" showColumnStripes="0"/>
</table>
</file>

<file path=xl/tables/table573.xml><?xml version="1.0" encoding="utf-8"?>
<table xmlns="http://schemas.openxmlformats.org/spreadsheetml/2006/main" id="573" name="Garbage_72" displayName="Garbage_72" ref="A68:D83" totalsRowShown="0" headerRowDxfId="1831" dataDxfId="1829" headerRowBorderDxfId="1830" tableBorderDxfId="1828" headerRowCellStyle="40% - Accent6">
  <autoFilter ref="A68:D83"/>
  <tableColumns count="4">
    <tableColumn id="1" name="Expense" dataDxfId="1827"/>
    <tableColumn id="2" name="Description" dataDxfId="1826"/>
    <tableColumn id="4" name="Label Name" dataDxfId="1825"/>
    <tableColumn id="5" name="Amount" dataDxfId="1824" dataCellStyle="20% - Accent6"/>
  </tableColumns>
  <tableStyleInfo name="TableStyleLight18" showFirstColumn="0" showLastColumn="0" showRowStripes="1" showColumnStripes="0"/>
</table>
</file>

<file path=xl/tables/table574.xml><?xml version="1.0" encoding="utf-8"?>
<table xmlns="http://schemas.openxmlformats.org/spreadsheetml/2006/main" id="574" name="Boarding_72" displayName="Boarding_72" ref="A87:D102" totalsRowShown="0" headerRowDxfId="1823" dataDxfId="1821" headerRowBorderDxfId="1822" tableBorderDxfId="1820" headerRowCellStyle="40% - Accent6">
  <autoFilter ref="A87:D102"/>
  <tableColumns count="4">
    <tableColumn id="1" name="Expense" dataDxfId="1819"/>
    <tableColumn id="2" name="Description" dataDxfId="1818"/>
    <tableColumn id="4" name="Label Name" dataDxfId="1817"/>
    <tableColumn id="5" name="Amount" dataDxfId="1816" dataCellStyle="40% - Accent6"/>
  </tableColumns>
  <tableStyleInfo name="TableStyleLight18" showFirstColumn="0" showLastColumn="0" showRowStripes="1" showColumnStripes="0"/>
</table>
</file>

<file path=xl/tables/table575.xml><?xml version="1.0" encoding="utf-8"?>
<table xmlns="http://schemas.openxmlformats.org/spreadsheetml/2006/main" id="575" name="Fence_72" displayName="Fence_72" ref="A106:D121" totalsRowShown="0" headerRowDxfId="1815" dataDxfId="1813" headerRowBorderDxfId="1814" tableBorderDxfId="1812" headerRowCellStyle="40% - Accent6">
  <autoFilter ref="A106:D121"/>
  <tableColumns count="4">
    <tableColumn id="1" name="Expense" dataDxfId="1811"/>
    <tableColumn id="2" name="Description" dataDxfId="1810"/>
    <tableColumn id="4" name="Label Name" dataDxfId="1809"/>
    <tableColumn id="5" name="Amount" dataDxfId="1808" dataCellStyle="40% - Accent6"/>
  </tableColumns>
  <tableStyleInfo name="TableStyleLight18" showFirstColumn="0" showLastColumn="0" showRowStripes="1" showColumnStripes="0"/>
</table>
</file>

<file path=xl/tables/table576.xml><?xml version="1.0" encoding="utf-8"?>
<table xmlns="http://schemas.openxmlformats.org/spreadsheetml/2006/main" id="576" name="Demolition_72" displayName="Demolition_72" ref="A125:D140" totalsRowShown="0" headerRowDxfId="1807" dataDxfId="1805" headerRowBorderDxfId="1806" tableBorderDxfId="1804" headerRowCellStyle="40% - Accent6">
  <autoFilter ref="A125:D140"/>
  <tableColumns count="4">
    <tableColumn id="1" name="Expense" dataDxfId="1803"/>
    <tableColumn id="2" name="Description" dataDxfId="1802"/>
    <tableColumn id="4" name="Label Name" dataDxfId="1801"/>
    <tableColumn id="5" name="Amount" dataDxfId="1800" dataCellStyle="40% - Accent6"/>
  </tableColumns>
  <tableStyleInfo name="TableStyleLight18" showFirstColumn="0" showLastColumn="0" showRowStripes="1" showColumnStripes="0"/>
</table>
</file>

<file path=xl/tables/table577.xml><?xml version="1.0" encoding="utf-8"?>
<table xmlns="http://schemas.openxmlformats.org/spreadsheetml/2006/main" id="577" name="Rehab_72" displayName="Rehab_72" ref="A144:D159" totalsRowShown="0" headerRowDxfId="1799" dataDxfId="1797" headerRowBorderDxfId="1798" tableBorderDxfId="1796" headerRowCellStyle="40% - Accent6">
  <autoFilter ref="A144:D159"/>
  <tableColumns count="4">
    <tableColumn id="1" name="Expense" dataDxfId="1795"/>
    <tableColumn id="2" name="Description" dataDxfId="1794"/>
    <tableColumn id="4" name="Label Name" dataDxfId="1793"/>
    <tableColumn id="5" name="Amount" dataDxfId="1792" dataCellStyle="40% - Accent6"/>
  </tableColumns>
  <tableStyleInfo name="TableStyleLight18" showFirstColumn="0" showLastColumn="0" showRowStripes="1" showColumnStripes="0"/>
</table>
</file>

<file path=xl/tables/table578.xml><?xml version="1.0" encoding="utf-8"?>
<table xmlns="http://schemas.openxmlformats.org/spreadsheetml/2006/main" id="578" name="Grass_73" displayName="Grass_73" ref="A11:D26" totalsRowShown="0" headerRowDxfId="1791" dataDxfId="1789" headerRowBorderDxfId="1790" tableBorderDxfId="1788" headerRowCellStyle="40% - Accent6">
  <autoFilter ref="A11:D26"/>
  <tableColumns count="4">
    <tableColumn id="1" name="Expense" dataDxfId="1787"/>
    <tableColumn id="2" name="Description" dataDxfId="1786"/>
    <tableColumn id="4" name="Label Name" dataDxfId="1785"/>
    <tableColumn id="5" name="Amount" dataDxfId="1784" dataCellStyle="20% - Accent6"/>
  </tableColumns>
  <tableStyleInfo name="TableStyleLight18" showFirstColumn="0" showLastColumn="0" showRowStripes="1" showColumnStripes="0"/>
</table>
</file>

<file path=xl/tables/table579.xml><?xml version="1.0" encoding="utf-8"?>
<table xmlns="http://schemas.openxmlformats.org/spreadsheetml/2006/main" id="579" name="Tree_73" displayName="Tree_73" ref="A30:D45" totalsRowShown="0" headerRowDxfId="1783" dataDxfId="1781" headerRowBorderDxfId="1782" tableBorderDxfId="1780" headerRowCellStyle="40% - Accent6">
  <autoFilter ref="A30:D45"/>
  <tableColumns count="4">
    <tableColumn id="1" name="Expense" dataDxfId="1779"/>
    <tableColumn id="2" name="Description" dataDxfId="1778"/>
    <tableColumn id="4" name="Label Name" dataDxfId="1777"/>
    <tableColumn id="5" name="Amount" dataDxfId="1776" dataCellStyle="40% - Accent6"/>
  </tableColumns>
  <tableStyleInfo name="TableStyleLight18" showFirstColumn="0" showLastColumn="0" showRowStripes="1" showColumnStripes="0"/>
</table>
</file>

<file path=xl/tables/table58.xml><?xml version="1.0" encoding="utf-8"?>
<table xmlns="http://schemas.openxmlformats.org/spreadsheetml/2006/main" id="123" name="Grass_8" displayName="Grass_8" ref="A11:D26" totalsRowShown="0" headerRowDxfId="5951" dataDxfId="5949" headerRowBorderDxfId="5950" tableBorderDxfId="5948" headerRowCellStyle="40% - Accent6">
  <autoFilter ref="A11:D26"/>
  <tableColumns count="4">
    <tableColumn id="1" name="Expense" dataDxfId="5947"/>
    <tableColumn id="2" name="Description" dataDxfId="5946"/>
    <tableColumn id="4" name="Label Name" dataDxfId="5945"/>
    <tableColumn id="5" name="Amount" dataDxfId="5944" dataCellStyle="20% - Accent6"/>
  </tableColumns>
  <tableStyleInfo name="TableStyleLight18" showFirstColumn="0" showLastColumn="0" showRowStripes="1" showColumnStripes="0"/>
</table>
</file>

<file path=xl/tables/table580.xml><?xml version="1.0" encoding="utf-8"?>
<table xmlns="http://schemas.openxmlformats.org/spreadsheetml/2006/main" id="580" name="Pest_73" displayName="Pest_73" ref="A49:D64" totalsRowShown="0" headerRowDxfId="1775" dataDxfId="1773" headerRowBorderDxfId="1774" tableBorderDxfId="1772" headerRowCellStyle="40% - Accent6">
  <autoFilter ref="A49:D64"/>
  <tableColumns count="4">
    <tableColumn id="1" name="Expense" dataDxfId="1771"/>
    <tableColumn id="2" name="Description" dataDxfId="1770"/>
    <tableColumn id="4" name="Label Name" dataDxfId="1769"/>
    <tableColumn id="5" name="Amount" dataDxfId="1768" dataCellStyle="40% - Accent6"/>
  </tableColumns>
  <tableStyleInfo name="TableStyleLight18" showFirstColumn="0" showLastColumn="0" showRowStripes="1" showColumnStripes="0"/>
</table>
</file>

<file path=xl/tables/table581.xml><?xml version="1.0" encoding="utf-8"?>
<table xmlns="http://schemas.openxmlformats.org/spreadsheetml/2006/main" id="581" name="Garbage_73" displayName="Garbage_73" ref="A68:D83" totalsRowShown="0" headerRowDxfId="1767" dataDxfId="1765" headerRowBorderDxfId="1766" tableBorderDxfId="1764" headerRowCellStyle="40% - Accent6">
  <autoFilter ref="A68:D83"/>
  <tableColumns count="4">
    <tableColumn id="1" name="Expense" dataDxfId="1763"/>
    <tableColumn id="2" name="Description" dataDxfId="1762"/>
    <tableColumn id="4" name="Label Name" dataDxfId="1761"/>
    <tableColumn id="5" name="Amount" dataDxfId="1760" dataCellStyle="20% - Accent6"/>
  </tableColumns>
  <tableStyleInfo name="TableStyleLight18" showFirstColumn="0" showLastColumn="0" showRowStripes="1" showColumnStripes="0"/>
</table>
</file>

<file path=xl/tables/table582.xml><?xml version="1.0" encoding="utf-8"?>
<table xmlns="http://schemas.openxmlformats.org/spreadsheetml/2006/main" id="582" name="Boarding_73" displayName="Boarding_73" ref="A87:D102" totalsRowShown="0" headerRowDxfId="1759" dataDxfId="1757" headerRowBorderDxfId="1758" tableBorderDxfId="1756" headerRowCellStyle="40% - Accent6">
  <autoFilter ref="A87:D102"/>
  <tableColumns count="4">
    <tableColumn id="1" name="Expense" dataDxfId="1755"/>
    <tableColumn id="2" name="Description" dataDxfId="1754"/>
    <tableColumn id="4" name="Label Name" dataDxfId="1753"/>
    <tableColumn id="5" name="Amount" dataDxfId="1752" dataCellStyle="40% - Accent6"/>
  </tableColumns>
  <tableStyleInfo name="TableStyleLight18" showFirstColumn="0" showLastColumn="0" showRowStripes="1" showColumnStripes="0"/>
</table>
</file>

<file path=xl/tables/table583.xml><?xml version="1.0" encoding="utf-8"?>
<table xmlns="http://schemas.openxmlformats.org/spreadsheetml/2006/main" id="583" name="Fence_73" displayName="Fence_73" ref="A106:D121" totalsRowShown="0" headerRowDxfId="1751" dataDxfId="1749" headerRowBorderDxfId="1750" tableBorderDxfId="1748" headerRowCellStyle="40% - Accent6">
  <autoFilter ref="A106:D121"/>
  <tableColumns count="4">
    <tableColumn id="1" name="Expense" dataDxfId="1747"/>
    <tableColumn id="2" name="Description" dataDxfId="1746"/>
    <tableColumn id="4" name="Label Name" dataDxfId="1745"/>
    <tableColumn id="5" name="Amount" dataDxfId="1744" dataCellStyle="40% - Accent6"/>
  </tableColumns>
  <tableStyleInfo name="TableStyleLight18" showFirstColumn="0" showLastColumn="0" showRowStripes="1" showColumnStripes="0"/>
</table>
</file>

<file path=xl/tables/table584.xml><?xml version="1.0" encoding="utf-8"?>
<table xmlns="http://schemas.openxmlformats.org/spreadsheetml/2006/main" id="584" name="Demolition_73" displayName="Demolition_73" ref="A125:D140" totalsRowShown="0" headerRowDxfId="1743" dataDxfId="1741" headerRowBorderDxfId="1742" tableBorderDxfId="1740" headerRowCellStyle="40% - Accent6">
  <autoFilter ref="A125:D140"/>
  <tableColumns count="4">
    <tableColumn id="1" name="Expense" dataDxfId="1739"/>
    <tableColumn id="2" name="Description" dataDxfId="1738"/>
    <tableColumn id="4" name="Label Name" dataDxfId="1737"/>
    <tableColumn id="5" name="Amount" dataDxfId="1736" dataCellStyle="40% - Accent6"/>
  </tableColumns>
  <tableStyleInfo name="TableStyleLight18" showFirstColumn="0" showLastColumn="0" showRowStripes="1" showColumnStripes="0"/>
</table>
</file>

<file path=xl/tables/table585.xml><?xml version="1.0" encoding="utf-8"?>
<table xmlns="http://schemas.openxmlformats.org/spreadsheetml/2006/main" id="585" name="Rehab_73" displayName="Rehab_73" ref="A144:D159" totalsRowShown="0" headerRowDxfId="1735" dataDxfId="1733" headerRowBorderDxfId="1734" tableBorderDxfId="1732" headerRowCellStyle="40% - Accent6">
  <autoFilter ref="A144:D159"/>
  <tableColumns count="4">
    <tableColumn id="1" name="Expense" dataDxfId="1731"/>
    <tableColumn id="2" name="Description" dataDxfId="1730"/>
    <tableColumn id="4" name="Label Name" dataDxfId="1729"/>
    <tableColumn id="5" name="Amount" dataDxfId="1728" dataCellStyle="40% - Accent6"/>
  </tableColumns>
  <tableStyleInfo name="TableStyleLight18" showFirstColumn="0" showLastColumn="0" showRowStripes="1" showColumnStripes="0"/>
</table>
</file>

<file path=xl/tables/table586.xml><?xml version="1.0" encoding="utf-8"?>
<table xmlns="http://schemas.openxmlformats.org/spreadsheetml/2006/main" id="586" name="Grass_74" displayName="Grass_74" ref="A11:D26" totalsRowShown="0" headerRowDxfId="1727" dataDxfId="1725" headerRowBorderDxfId="1726" tableBorderDxfId="1724" headerRowCellStyle="40% - Accent6">
  <autoFilter ref="A11:D26"/>
  <tableColumns count="4">
    <tableColumn id="1" name="Expense" dataDxfId="1723"/>
    <tableColumn id="2" name="Description" dataDxfId="1722"/>
    <tableColumn id="4" name="Label Name" dataDxfId="1721"/>
    <tableColumn id="5" name="Amount" dataDxfId="1720" dataCellStyle="20% - Accent6"/>
  </tableColumns>
  <tableStyleInfo name="TableStyleLight18" showFirstColumn="0" showLastColumn="0" showRowStripes="1" showColumnStripes="0"/>
</table>
</file>

<file path=xl/tables/table587.xml><?xml version="1.0" encoding="utf-8"?>
<table xmlns="http://schemas.openxmlformats.org/spreadsheetml/2006/main" id="587" name="Tree_74" displayName="Tree_74" ref="A30:D45" totalsRowShown="0" headerRowDxfId="1719" dataDxfId="1717" headerRowBorderDxfId="1718" tableBorderDxfId="1716" headerRowCellStyle="40% - Accent6">
  <autoFilter ref="A30:D45"/>
  <tableColumns count="4">
    <tableColumn id="1" name="Expense" dataDxfId="1715"/>
    <tableColumn id="2" name="Description" dataDxfId="1714"/>
    <tableColumn id="4" name="Label Name" dataDxfId="1713"/>
    <tableColumn id="5" name="Amount" dataDxfId="1712" dataCellStyle="40% - Accent6"/>
  </tableColumns>
  <tableStyleInfo name="TableStyleLight18" showFirstColumn="0" showLastColumn="0" showRowStripes="1" showColumnStripes="0"/>
</table>
</file>

<file path=xl/tables/table588.xml><?xml version="1.0" encoding="utf-8"?>
<table xmlns="http://schemas.openxmlformats.org/spreadsheetml/2006/main" id="588" name="Pest_74" displayName="Pest_74" ref="A49:D64" totalsRowShown="0" headerRowDxfId="1711" dataDxfId="1709" headerRowBorderDxfId="1710" tableBorderDxfId="1708" headerRowCellStyle="40% - Accent6">
  <autoFilter ref="A49:D64"/>
  <tableColumns count="4">
    <tableColumn id="1" name="Expense" dataDxfId="1707"/>
    <tableColumn id="2" name="Description" dataDxfId="1706"/>
    <tableColumn id="4" name="Label Name" dataDxfId="1705"/>
    <tableColumn id="5" name="Amount" dataDxfId="1704" dataCellStyle="40% - Accent6"/>
  </tableColumns>
  <tableStyleInfo name="TableStyleLight18" showFirstColumn="0" showLastColumn="0" showRowStripes="1" showColumnStripes="0"/>
</table>
</file>

<file path=xl/tables/table589.xml><?xml version="1.0" encoding="utf-8"?>
<table xmlns="http://schemas.openxmlformats.org/spreadsheetml/2006/main" id="589" name="Garbage_74" displayName="Garbage_74" ref="A68:D83" totalsRowShown="0" headerRowDxfId="1703" dataDxfId="1701" headerRowBorderDxfId="1702" tableBorderDxfId="1700" headerRowCellStyle="40% - Accent6">
  <autoFilter ref="A68:D83"/>
  <tableColumns count="4">
    <tableColumn id="1" name="Expense" dataDxfId="1699"/>
    <tableColumn id="2" name="Description" dataDxfId="1698"/>
    <tableColumn id="4" name="Label Name" dataDxfId="1697"/>
    <tableColumn id="5" name="Amount" dataDxfId="1696" dataCellStyle="20% - Accent6"/>
  </tableColumns>
  <tableStyleInfo name="TableStyleLight18" showFirstColumn="0" showLastColumn="0" showRowStripes="1" showColumnStripes="0"/>
</table>
</file>

<file path=xl/tables/table59.xml><?xml version="1.0" encoding="utf-8"?>
<table xmlns="http://schemas.openxmlformats.org/spreadsheetml/2006/main" id="124" name="Tree_8" displayName="Tree_8" ref="A30:D45" totalsRowShown="0" headerRowDxfId="5943" dataDxfId="5941" headerRowBorderDxfId="5942" tableBorderDxfId="5940" headerRowCellStyle="40% - Accent6">
  <autoFilter ref="A30:D45"/>
  <tableColumns count="4">
    <tableColumn id="1" name="Expense" dataDxfId="5939"/>
    <tableColumn id="2" name="Description" dataDxfId="5938"/>
    <tableColumn id="4" name="Label Name" dataDxfId="5937"/>
    <tableColumn id="5" name="Amount" dataDxfId="5936" dataCellStyle="40% - Accent6"/>
  </tableColumns>
  <tableStyleInfo name="TableStyleLight18" showFirstColumn="0" showLastColumn="0" showRowStripes="1" showColumnStripes="0"/>
</table>
</file>

<file path=xl/tables/table590.xml><?xml version="1.0" encoding="utf-8"?>
<table xmlns="http://schemas.openxmlformats.org/spreadsheetml/2006/main" id="590" name="Boarding_74" displayName="Boarding_74" ref="A87:D102" totalsRowShown="0" headerRowDxfId="1695" dataDxfId="1693" headerRowBorderDxfId="1694" tableBorderDxfId="1692" headerRowCellStyle="40% - Accent6">
  <autoFilter ref="A87:D102"/>
  <tableColumns count="4">
    <tableColumn id="1" name="Expense" dataDxfId="1691"/>
    <tableColumn id="2" name="Description" dataDxfId="1690"/>
    <tableColumn id="4" name="Label Name" dataDxfId="1689"/>
    <tableColumn id="5" name="Amount" dataDxfId="1688" dataCellStyle="40% - Accent6"/>
  </tableColumns>
  <tableStyleInfo name="TableStyleLight18" showFirstColumn="0" showLastColumn="0" showRowStripes="1" showColumnStripes="0"/>
</table>
</file>

<file path=xl/tables/table591.xml><?xml version="1.0" encoding="utf-8"?>
<table xmlns="http://schemas.openxmlformats.org/spreadsheetml/2006/main" id="591" name="Fence_74" displayName="Fence_74" ref="A106:D121" totalsRowShown="0" headerRowDxfId="1687" dataDxfId="1685" headerRowBorderDxfId="1686" tableBorderDxfId="1684" headerRowCellStyle="40% - Accent6">
  <autoFilter ref="A106:D121"/>
  <tableColumns count="4">
    <tableColumn id="1" name="Expense" dataDxfId="1683"/>
    <tableColumn id="2" name="Description" dataDxfId="1682"/>
    <tableColumn id="4" name="Label Name" dataDxfId="1681"/>
    <tableColumn id="5" name="Amount" dataDxfId="1680" dataCellStyle="40% - Accent6"/>
  </tableColumns>
  <tableStyleInfo name="TableStyleLight18" showFirstColumn="0" showLastColumn="0" showRowStripes="1" showColumnStripes="0"/>
</table>
</file>

<file path=xl/tables/table592.xml><?xml version="1.0" encoding="utf-8"?>
<table xmlns="http://schemas.openxmlformats.org/spreadsheetml/2006/main" id="592" name="Demolition_74" displayName="Demolition_74" ref="A125:D140" totalsRowShown="0" headerRowDxfId="1679" dataDxfId="1677" headerRowBorderDxfId="1678" tableBorderDxfId="1676" headerRowCellStyle="40% - Accent6">
  <autoFilter ref="A125:D140"/>
  <tableColumns count="4">
    <tableColumn id="1" name="Expense" dataDxfId="1675"/>
    <tableColumn id="2" name="Description" dataDxfId="1674"/>
    <tableColumn id="4" name="Label Name" dataDxfId="1673"/>
    <tableColumn id="5" name="Amount" dataDxfId="1672" dataCellStyle="40% - Accent6"/>
  </tableColumns>
  <tableStyleInfo name="TableStyleLight18" showFirstColumn="0" showLastColumn="0" showRowStripes="1" showColumnStripes="0"/>
</table>
</file>

<file path=xl/tables/table593.xml><?xml version="1.0" encoding="utf-8"?>
<table xmlns="http://schemas.openxmlformats.org/spreadsheetml/2006/main" id="593" name="Rehab_74" displayName="Rehab_74" ref="A144:D159" totalsRowShown="0" headerRowDxfId="1671" dataDxfId="1669" headerRowBorderDxfId="1670" tableBorderDxfId="1668" headerRowCellStyle="40% - Accent6">
  <autoFilter ref="A144:D159"/>
  <tableColumns count="4">
    <tableColumn id="1" name="Expense" dataDxfId="1667"/>
    <tableColumn id="2" name="Description" dataDxfId="1666"/>
    <tableColumn id="4" name="Label Name" dataDxfId="1665"/>
    <tableColumn id="5" name="Amount" dataDxfId="1664" dataCellStyle="40% - Accent6"/>
  </tableColumns>
  <tableStyleInfo name="TableStyleLight18" showFirstColumn="0" showLastColumn="0" showRowStripes="1" showColumnStripes="0"/>
</table>
</file>

<file path=xl/tables/table594.xml><?xml version="1.0" encoding="utf-8"?>
<table xmlns="http://schemas.openxmlformats.org/spreadsheetml/2006/main" id="594" name="Grass_75" displayName="Grass_75" ref="A11:D26" totalsRowShown="0" headerRowDxfId="1663" dataDxfId="1661" headerRowBorderDxfId="1662" tableBorderDxfId="1660" headerRowCellStyle="40% - Accent6">
  <autoFilter ref="A11:D26"/>
  <tableColumns count="4">
    <tableColumn id="1" name="Expense" dataDxfId="1659"/>
    <tableColumn id="2" name="Description" dataDxfId="1658"/>
    <tableColumn id="4" name="Label Name" dataDxfId="1657"/>
    <tableColumn id="5" name="Amount" dataDxfId="1656" dataCellStyle="20% - Accent6"/>
  </tableColumns>
  <tableStyleInfo name="TableStyleLight18" showFirstColumn="0" showLastColumn="0" showRowStripes="1" showColumnStripes="0"/>
</table>
</file>

<file path=xl/tables/table595.xml><?xml version="1.0" encoding="utf-8"?>
<table xmlns="http://schemas.openxmlformats.org/spreadsheetml/2006/main" id="595" name="Tree_75" displayName="Tree_75" ref="A30:D45" totalsRowShown="0" headerRowDxfId="1655" dataDxfId="1653" headerRowBorderDxfId="1654" tableBorderDxfId="1652" headerRowCellStyle="40% - Accent6">
  <autoFilter ref="A30:D45"/>
  <tableColumns count="4">
    <tableColumn id="1" name="Expense" dataDxfId="1651"/>
    <tableColumn id="2" name="Description" dataDxfId="1650"/>
    <tableColumn id="4" name="Label Name" dataDxfId="1649"/>
    <tableColumn id="5" name="Amount" dataDxfId="1648" dataCellStyle="40% - Accent6"/>
  </tableColumns>
  <tableStyleInfo name="TableStyleLight18" showFirstColumn="0" showLastColumn="0" showRowStripes="1" showColumnStripes="0"/>
</table>
</file>

<file path=xl/tables/table596.xml><?xml version="1.0" encoding="utf-8"?>
<table xmlns="http://schemas.openxmlformats.org/spreadsheetml/2006/main" id="596" name="Pest_75" displayName="Pest_75" ref="A49:D64" totalsRowShown="0" headerRowDxfId="1647" dataDxfId="1645" headerRowBorderDxfId="1646" tableBorderDxfId="1644" headerRowCellStyle="40% - Accent6">
  <autoFilter ref="A49:D64"/>
  <tableColumns count="4">
    <tableColumn id="1" name="Expense" dataDxfId="1643"/>
    <tableColumn id="2" name="Description" dataDxfId="1642"/>
    <tableColumn id="4" name="Label Name" dataDxfId="1641"/>
    <tableColumn id="5" name="Amount" dataDxfId="1640" dataCellStyle="40% - Accent6"/>
  </tableColumns>
  <tableStyleInfo name="TableStyleLight18" showFirstColumn="0" showLastColumn="0" showRowStripes="1" showColumnStripes="0"/>
</table>
</file>

<file path=xl/tables/table597.xml><?xml version="1.0" encoding="utf-8"?>
<table xmlns="http://schemas.openxmlformats.org/spreadsheetml/2006/main" id="597" name="Garbage_75" displayName="Garbage_75" ref="A68:D83" totalsRowShown="0" headerRowDxfId="1639" dataDxfId="1637" headerRowBorderDxfId="1638" tableBorderDxfId="1636" headerRowCellStyle="40% - Accent6">
  <autoFilter ref="A68:D83"/>
  <tableColumns count="4">
    <tableColumn id="1" name="Expense" dataDxfId="1635"/>
    <tableColumn id="2" name="Description" dataDxfId="1634"/>
    <tableColumn id="4" name="Label Name" dataDxfId="1633"/>
    <tableColumn id="5" name="Amount" dataDxfId="1632" dataCellStyle="20% - Accent6"/>
  </tableColumns>
  <tableStyleInfo name="TableStyleLight18" showFirstColumn="0" showLastColumn="0" showRowStripes="1" showColumnStripes="0"/>
</table>
</file>

<file path=xl/tables/table598.xml><?xml version="1.0" encoding="utf-8"?>
<table xmlns="http://schemas.openxmlformats.org/spreadsheetml/2006/main" id="598" name="Boarding_75" displayName="Boarding_75" ref="A87:D102" totalsRowShown="0" headerRowDxfId="1631" dataDxfId="1629" headerRowBorderDxfId="1630" tableBorderDxfId="1628" headerRowCellStyle="40% - Accent6">
  <autoFilter ref="A87:D102"/>
  <tableColumns count="4">
    <tableColumn id="1" name="Expense" dataDxfId="1627"/>
    <tableColumn id="2" name="Description" dataDxfId="1626"/>
    <tableColumn id="4" name="Label Name" dataDxfId="1625"/>
    <tableColumn id="5" name="Amount" dataDxfId="1624" dataCellStyle="40% - Accent6"/>
  </tableColumns>
  <tableStyleInfo name="TableStyleLight18" showFirstColumn="0" showLastColumn="0" showRowStripes="1" showColumnStripes="0"/>
</table>
</file>

<file path=xl/tables/table599.xml><?xml version="1.0" encoding="utf-8"?>
<table xmlns="http://schemas.openxmlformats.org/spreadsheetml/2006/main" id="599" name="Fence_75" displayName="Fence_75" ref="A106:D121" totalsRowShown="0" headerRowDxfId="1623" dataDxfId="1621" headerRowBorderDxfId="1622" tableBorderDxfId="1620" headerRowCellStyle="40% - Accent6">
  <autoFilter ref="A106:D121"/>
  <tableColumns count="4">
    <tableColumn id="1" name="Expense" dataDxfId="1619"/>
    <tableColumn id="2" name="Description" dataDxfId="1618"/>
    <tableColumn id="4" name="Label Name" dataDxfId="1617"/>
    <tableColumn id="5" name="Amount" dataDxfId="1616" dataCellStyle="40% - Accent6"/>
  </tableColumns>
  <tableStyleInfo name="TableStyleLight18" showFirstColumn="0" showLastColumn="0" showRowStripes="1" showColumnStripes="0"/>
</table>
</file>

<file path=xl/tables/table6.xml><?xml version="1.0" encoding="utf-8"?>
<table xmlns="http://schemas.openxmlformats.org/spreadsheetml/2006/main" id="63" name="Boarding_1" displayName="Boarding_1" ref="A87:D102" totalsRowShown="0" headerRowDxfId="6367" dataDxfId="6365" headerRowBorderDxfId="6366" tableBorderDxfId="6364" headerRowCellStyle="40% - Accent6">
  <autoFilter ref="A87:D102"/>
  <tableColumns count="4">
    <tableColumn id="1" name="Expense" dataDxfId="6363"/>
    <tableColumn id="2" name="Description" dataDxfId="6362"/>
    <tableColumn id="4" name="Label Name" dataDxfId="6361"/>
    <tableColumn id="5" name="Amount" dataDxfId="6360" dataCellStyle="40% - Accent6"/>
  </tableColumns>
  <tableStyleInfo name="TableStyleLight18" showFirstColumn="0" showLastColumn="0" showRowStripes="1" showColumnStripes="0"/>
</table>
</file>

<file path=xl/tables/table60.xml><?xml version="1.0" encoding="utf-8"?>
<table xmlns="http://schemas.openxmlformats.org/spreadsheetml/2006/main" id="125" name="Pest_8" displayName="Pest_8" ref="A49:D64" totalsRowShown="0" headerRowDxfId="5935" dataDxfId="5933" headerRowBorderDxfId="5934" tableBorderDxfId="5932" headerRowCellStyle="40% - Accent6">
  <autoFilter ref="A49:D64"/>
  <tableColumns count="4">
    <tableColumn id="1" name="Expense" dataDxfId="5931"/>
    <tableColumn id="2" name="Description" dataDxfId="5930"/>
    <tableColumn id="4" name="Label Name" dataDxfId="5929"/>
    <tableColumn id="5" name="Amount" dataDxfId="5928" dataCellStyle="40% - Accent6"/>
  </tableColumns>
  <tableStyleInfo name="TableStyleLight18" showFirstColumn="0" showLastColumn="0" showRowStripes="1" showColumnStripes="0"/>
</table>
</file>

<file path=xl/tables/table600.xml><?xml version="1.0" encoding="utf-8"?>
<table xmlns="http://schemas.openxmlformats.org/spreadsheetml/2006/main" id="600" name="Demolition_75" displayName="Demolition_75" ref="A125:D140" totalsRowShown="0" headerRowDxfId="1615" dataDxfId="1613" headerRowBorderDxfId="1614" tableBorderDxfId="1612" headerRowCellStyle="40% - Accent6">
  <autoFilter ref="A125:D140"/>
  <tableColumns count="4">
    <tableColumn id="1" name="Expense" dataDxfId="1611"/>
    <tableColumn id="2" name="Description" dataDxfId="1610"/>
    <tableColumn id="4" name="Label Name" dataDxfId="1609"/>
    <tableColumn id="5" name="Amount" dataDxfId="1608" dataCellStyle="40% - Accent6"/>
  </tableColumns>
  <tableStyleInfo name="TableStyleLight18" showFirstColumn="0" showLastColumn="0" showRowStripes="1" showColumnStripes="0"/>
</table>
</file>

<file path=xl/tables/table601.xml><?xml version="1.0" encoding="utf-8"?>
<table xmlns="http://schemas.openxmlformats.org/spreadsheetml/2006/main" id="601" name="Rehab_75" displayName="Rehab_75" ref="A144:D159" totalsRowShown="0" headerRowDxfId="1607" dataDxfId="1605" headerRowBorderDxfId="1606" tableBorderDxfId="1604" headerRowCellStyle="40% - Accent6">
  <autoFilter ref="A144:D159"/>
  <tableColumns count="4">
    <tableColumn id="1" name="Expense" dataDxfId="1603"/>
    <tableColumn id="2" name="Description" dataDxfId="1602"/>
    <tableColumn id="4" name="Label Name" dataDxfId="1601"/>
    <tableColumn id="5" name="Amount" dataDxfId="1600" dataCellStyle="40% - Accent6"/>
  </tableColumns>
  <tableStyleInfo name="TableStyleLight18" showFirstColumn="0" showLastColumn="0" showRowStripes="1" showColumnStripes="0"/>
</table>
</file>

<file path=xl/tables/table602.xml><?xml version="1.0" encoding="utf-8"?>
<table xmlns="http://schemas.openxmlformats.org/spreadsheetml/2006/main" id="602" name="Grass_76" displayName="Grass_76" ref="A11:D26" totalsRowShown="0" headerRowDxfId="1599" dataDxfId="1597" headerRowBorderDxfId="1598" tableBorderDxfId="1596" headerRowCellStyle="40% - Accent6">
  <autoFilter ref="A11:D26"/>
  <tableColumns count="4">
    <tableColumn id="1" name="Expense" dataDxfId="1595"/>
    <tableColumn id="2" name="Description" dataDxfId="1594"/>
    <tableColumn id="4" name="Label Name" dataDxfId="1593"/>
    <tableColumn id="5" name="Amount" dataDxfId="1592" dataCellStyle="20% - Accent6"/>
  </tableColumns>
  <tableStyleInfo name="TableStyleLight18" showFirstColumn="0" showLastColumn="0" showRowStripes="1" showColumnStripes="0"/>
</table>
</file>

<file path=xl/tables/table603.xml><?xml version="1.0" encoding="utf-8"?>
<table xmlns="http://schemas.openxmlformats.org/spreadsheetml/2006/main" id="603" name="Tree_76" displayName="Tree_76" ref="A30:D45" totalsRowShown="0" headerRowDxfId="1591" dataDxfId="1589" headerRowBorderDxfId="1590" tableBorderDxfId="1588" headerRowCellStyle="40% - Accent6">
  <autoFilter ref="A30:D45"/>
  <tableColumns count="4">
    <tableColumn id="1" name="Expense" dataDxfId="1587"/>
    <tableColumn id="2" name="Description" dataDxfId="1586"/>
    <tableColumn id="4" name="Label Name" dataDxfId="1585"/>
    <tableColumn id="5" name="Amount" dataDxfId="1584" dataCellStyle="40% - Accent6"/>
  </tableColumns>
  <tableStyleInfo name="TableStyleLight18" showFirstColumn="0" showLastColumn="0" showRowStripes="1" showColumnStripes="0"/>
</table>
</file>

<file path=xl/tables/table604.xml><?xml version="1.0" encoding="utf-8"?>
<table xmlns="http://schemas.openxmlformats.org/spreadsheetml/2006/main" id="604" name="Pest_76" displayName="Pest_76" ref="A49:D64" totalsRowShown="0" headerRowDxfId="1583" dataDxfId="1581" headerRowBorderDxfId="1582" tableBorderDxfId="1580" headerRowCellStyle="40% - Accent6">
  <autoFilter ref="A49:D64"/>
  <tableColumns count="4">
    <tableColumn id="1" name="Expense" dataDxfId="1579"/>
    <tableColumn id="2" name="Description" dataDxfId="1578"/>
    <tableColumn id="4" name="Label Name" dataDxfId="1577"/>
    <tableColumn id="5" name="Amount" dataDxfId="1576" dataCellStyle="40% - Accent6"/>
  </tableColumns>
  <tableStyleInfo name="TableStyleLight18" showFirstColumn="0" showLastColumn="0" showRowStripes="1" showColumnStripes="0"/>
</table>
</file>

<file path=xl/tables/table605.xml><?xml version="1.0" encoding="utf-8"?>
<table xmlns="http://schemas.openxmlformats.org/spreadsheetml/2006/main" id="605" name="Garbage_76" displayName="Garbage_76" ref="A68:D83" totalsRowShown="0" headerRowDxfId="1575" dataDxfId="1573" headerRowBorderDxfId="1574" tableBorderDxfId="1572" headerRowCellStyle="40% - Accent6">
  <autoFilter ref="A68:D83"/>
  <tableColumns count="4">
    <tableColumn id="1" name="Expense" dataDxfId="1571"/>
    <tableColumn id="2" name="Description" dataDxfId="1570"/>
    <tableColumn id="4" name="Label Name" dataDxfId="1569"/>
    <tableColumn id="5" name="Amount" dataDxfId="1568" dataCellStyle="20% - Accent6"/>
  </tableColumns>
  <tableStyleInfo name="TableStyleLight18" showFirstColumn="0" showLastColumn="0" showRowStripes="1" showColumnStripes="0"/>
</table>
</file>

<file path=xl/tables/table606.xml><?xml version="1.0" encoding="utf-8"?>
<table xmlns="http://schemas.openxmlformats.org/spreadsheetml/2006/main" id="606" name="Boarding_76" displayName="Boarding_76" ref="A87:D102" totalsRowShown="0" headerRowDxfId="1567" dataDxfId="1565" headerRowBorderDxfId="1566" tableBorderDxfId="1564" headerRowCellStyle="40% - Accent6">
  <autoFilter ref="A87:D102"/>
  <tableColumns count="4">
    <tableColumn id="1" name="Expense" dataDxfId="1563"/>
    <tableColumn id="2" name="Description" dataDxfId="1562"/>
    <tableColumn id="4" name="Label Name" dataDxfId="1561"/>
    <tableColumn id="5" name="Amount" dataDxfId="1560" dataCellStyle="40% - Accent6"/>
  </tableColumns>
  <tableStyleInfo name="TableStyleLight18" showFirstColumn="0" showLastColumn="0" showRowStripes="1" showColumnStripes="0"/>
</table>
</file>

<file path=xl/tables/table607.xml><?xml version="1.0" encoding="utf-8"?>
<table xmlns="http://schemas.openxmlformats.org/spreadsheetml/2006/main" id="607" name="Fence_76" displayName="Fence_76" ref="A106:D121" totalsRowShown="0" headerRowDxfId="1559" dataDxfId="1557" headerRowBorderDxfId="1558" tableBorderDxfId="1556" headerRowCellStyle="40% - Accent6">
  <autoFilter ref="A106:D121"/>
  <tableColumns count="4">
    <tableColumn id="1" name="Expense" dataDxfId="1555"/>
    <tableColumn id="2" name="Description" dataDxfId="1554"/>
    <tableColumn id="4" name="Label Name" dataDxfId="1553"/>
    <tableColumn id="5" name="Amount" dataDxfId="1552" dataCellStyle="40% - Accent6"/>
  </tableColumns>
  <tableStyleInfo name="TableStyleLight18" showFirstColumn="0" showLastColumn="0" showRowStripes="1" showColumnStripes="0"/>
</table>
</file>

<file path=xl/tables/table608.xml><?xml version="1.0" encoding="utf-8"?>
<table xmlns="http://schemas.openxmlformats.org/spreadsheetml/2006/main" id="608" name="Demolition_76" displayName="Demolition_76" ref="A125:D140" totalsRowShown="0" headerRowDxfId="1551" dataDxfId="1549" headerRowBorderDxfId="1550" tableBorderDxfId="1548" headerRowCellStyle="40% - Accent6">
  <autoFilter ref="A125:D140"/>
  <tableColumns count="4">
    <tableColumn id="1" name="Expense" dataDxfId="1547"/>
    <tableColumn id="2" name="Description" dataDxfId="1546"/>
    <tableColumn id="4" name="Label Name" dataDxfId="1545"/>
    <tableColumn id="5" name="Amount" dataDxfId="1544" dataCellStyle="40% - Accent6"/>
  </tableColumns>
  <tableStyleInfo name="TableStyleLight18" showFirstColumn="0" showLastColumn="0" showRowStripes="1" showColumnStripes="0"/>
</table>
</file>

<file path=xl/tables/table609.xml><?xml version="1.0" encoding="utf-8"?>
<table xmlns="http://schemas.openxmlformats.org/spreadsheetml/2006/main" id="609" name="Rehab_76" displayName="Rehab_76" ref="A144:D159" totalsRowShown="0" headerRowDxfId="1543" dataDxfId="1541" headerRowBorderDxfId="1542" tableBorderDxfId="1540" headerRowCellStyle="40% - Accent6">
  <autoFilter ref="A144:D159"/>
  <tableColumns count="4">
    <tableColumn id="1" name="Expense" dataDxfId="1539"/>
    <tableColumn id="2" name="Description" dataDxfId="1538"/>
    <tableColumn id="4" name="Label Name" dataDxfId="1537"/>
    <tableColumn id="5" name="Amount" dataDxfId="1536" dataCellStyle="40% - Accent6"/>
  </tableColumns>
  <tableStyleInfo name="TableStyleLight18" showFirstColumn="0" showLastColumn="0" showRowStripes="1" showColumnStripes="0"/>
</table>
</file>

<file path=xl/tables/table61.xml><?xml version="1.0" encoding="utf-8"?>
<table xmlns="http://schemas.openxmlformats.org/spreadsheetml/2006/main" id="126" name="Garbage_8" displayName="Garbage_8" ref="A68:D83" totalsRowShown="0" headerRowDxfId="5927" dataDxfId="5925" headerRowBorderDxfId="5926" tableBorderDxfId="5924" headerRowCellStyle="40% - Accent6">
  <autoFilter ref="A68:D83"/>
  <tableColumns count="4">
    <tableColumn id="1" name="Expense" dataDxfId="5923"/>
    <tableColumn id="2" name="Description" dataDxfId="5922"/>
    <tableColumn id="4" name="Label Name" dataDxfId="5921"/>
    <tableColumn id="5" name="Amount" dataDxfId="5920" dataCellStyle="20% - Accent6"/>
  </tableColumns>
  <tableStyleInfo name="TableStyleLight18" showFirstColumn="0" showLastColumn="0" showRowStripes="1" showColumnStripes="0"/>
</table>
</file>

<file path=xl/tables/table610.xml><?xml version="1.0" encoding="utf-8"?>
<table xmlns="http://schemas.openxmlformats.org/spreadsheetml/2006/main" id="610" name="Grass_77" displayName="Grass_77" ref="A11:D26" totalsRowShown="0" headerRowDxfId="1535" dataDxfId="1533" headerRowBorderDxfId="1534" tableBorderDxfId="1532" headerRowCellStyle="40% - Accent6">
  <autoFilter ref="A11:D26"/>
  <tableColumns count="4">
    <tableColumn id="1" name="Expense" dataDxfId="1531"/>
    <tableColumn id="2" name="Description" dataDxfId="1530"/>
    <tableColumn id="4" name="Label Name" dataDxfId="1529"/>
    <tableColumn id="5" name="Amount" dataDxfId="1528" dataCellStyle="20% - Accent6"/>
  </tableColumns>
  <tableStyleInfo name="TableStyleLight18" showFirstColumn="0" showLastColumn="0" showRowStripes="1" showColumnStripes="0"/>
</table>
</file>

<file path=xl/tables/table611.xml><?xml version="1.0" encoding="utf-8"?>
<table xmlns="http://schemas.openxmlformats.org/spreadsheetml/2006/main" id="611" name="Tree_77" displayName="Tree_77" ref="A30:D45" totalsRowShown="0" headerRowDxfId="1527" dataDxfId="1525" headerRowBorderDxfId="1526" tableBorderDxfId="1524" headerRowCellStyle="40% - Accent6">
  <autoFilter ref="A30:D45"/>
  <tableColumns count="4">
    <tableColumn id="1" name="Expense" dataDxfId="1523"/>
    <tableColumn id="2" name="Description" dataDxfId="1522"/>
    <tableColumn id="4" name="Label Name" dataDxfId="1521"/>
    <tableColumn id="5" name="Amount" dataDxfId="1520" dataCellStyle="40% - Accent6"/>
  </tableColumns>
  <tableStyleInfo name="TableStyleLight18" showFirstColumn="0" showLastColumn="0" showRowStripes="1" showColumnStripes="0"/>
</table>
</file>

<file path=xl/tables/table612.xml><?xml version="1.0" encoding="utf-8"?>
<table xmlns="http://schemas.openxmlformats.org/spreadsheetml/2006/main" id="612" name="Pest_77" displayName="Pest_77" ref="A49:D64" totalsRowShown="0" headerRowDxfId="1519" dataDxfId="1517" headerRowBorderDxfId="1518" tableBorderDxfId="1516" headerRowCellStyle="40% - Accent6">
  <autoFilter ref="A49:D64"/>
  <tableColumns count="4">
    <tableColumn id="1" name="Expense" dataDxfId="1515"/>
    <tableColumn id="2" name="Description" dataDxfId="1514"/>
    <tableColumn id="4" name="Label Name" dataDxfId="1513"/>
    <tableColumn id="5" name="Amount" dataDxfId="1512" dataCellStyle="40% - Accent6"/>
  </tableColumns>
  <tableStyleInfo name="TableStyleLight18" showFirstColumn="0" showLastColumn="0" showRowStripes="1" showColumnStripes="0"/>
</table>
</file>

<file path=xl/tables/table613.xml><?xml version="1.0" encoding="utf-8"?>
<table xmlns="http://schemas.openxmlformats.org/spreadsheetml/2006/main" id="613" name="Garbage_77" displayName="Garbage_77" ref="A68:D83" totalsRowShown="0" headerRowDxfId="1511" dataDxfId="1509" headerRowBorderDxfId="1510" tableBorderDxfId="1508" headerRowCellStyle="40% - Accent6">
  <autoFilter ref="A68:D83"/>
  <tableColumns count="4">
    <tableColumn id="1" name="Expense" dataDxfId="1507"/>
    <tableColumn id="2" name="Description" dataDxfId="1506"/>
    <tableColumn id="4" name="Label Name" dataDxfId="1505"/>
    <tableColumn id="5" name="Amount" dataDxfId="1504" dataCellStyle="20% - Accent6"/>
  </tableColumns>
  <tableStyleInfo name="TableStyleLight18" showFirstColumn="0" showLastColumn="0" showRowStripes="1" showColumnStripes="0"/>
</table>
</file>

<file path=xl/tables/table614.xml><?xml version="1.0" encoding="utf-8"?>
<table xmlns="http://schemas.openxmlformats.org/spreadsheetml/2006/main" id="614" name="Boarding_77" displayName="Boarding_77" ref="A87:D102" totalsRowShown="0" headerRowDxfId="1503" dataDxfId="1501" headerRowBorderDxfId="1502" tableBorderDxfId="1500" headerRowCellStyle="40% - Accent6">
  <autoFilter ref="A87:D102"/>
  <tableColumns count="4">
    <tableColumn id="1" name="Expense" dataDxfId="1499"/>
    <tableColumn id="2" name="Description" dataDxfId="1498"/>
    <tableColumn id="4" name="Label Name" dataDxfId="1497"/>
    <tableColumn id="5" name="Amount" dataDxfId="1496" dataCellStyle="40% - Accent6"/>
  </tableColumns>
  <tableStyleInfo name="TableStyleLight18" showFirstColumn="0" showLastColumn="0" showRowStripes="1" showColumnStripes="0"/>
</table>
</file>

<file path=xl/tables/table615.xml><?xml version="1.0" encoding="utf-8"?>
<table xmlns="http://schemas.openxmlformats.org/spreadsheetml/2006/main" id="615" name="Fence_77" displayName="Fence_77" ref="A106:D121" totalsRowShown="0" headerRowDxfId="1495" dataDxfId="1493" headerRowBorderDxfId="1494" tableBorderDxfId="1492" headerRowCellStyle="40% - Accent6">
  <autoFilter ref="A106:D121"/>
  <tableColumns count="4">
    <tableColumn id="1" name="Expense" dataDxfId="1491"/>
    <tableColumn id="2" name="Description" dataDxfId="1490"/>
    <tableColumn id="4" name="Label Name" dataDxfId="1489"/>
    <tableColumn id="5" name="Amount" dataDxfId="1488" dataCellStyle="40% - Accent6"/>
  </tableColumns>
  <tableStyleInfo name="TableStyleLight18" showFirstColumn="0" showLastColumn="0" showRowStripes="1" showColumnStripes="0"/>
</table>
</file>

<file path=xl/tables/table616.xml><?xml version="1.0" encoding="utf-8"?>
<table xmlns="http://schemas.openxmlformats.org/spreadsheetml/2006/main" id="616" name="Demolition_77" displayName="Demolition_77" ref="A125:D140" totalsRowShown="0" headerRowDxfId="1487" dataDxfId="1485" headerRowBorderDxfId="1486" tableBorderDxfId="1484" headerRowCellStyle="40% - Accent6">
  <autoFilter ref="A125:D140"/>
  <tableColumns count="4">
    <tableColumn id="1" name="Expense" dataDxfId="1483"/>
    <tableColumn id="2" name="Description" dataDxfId="1482"/>
    <tableColumn id="4" name="Label Name" dataDxfId="1481"/>
    <tableColumn id="5" name="Amount" dataDxfId="1480" dataCellStyle="40% - Accent6"/>
  </tableColumns>
  <tableStyleInfo name="TableStyleLight18" showFirstColumn="0" showLastColumn="0" showRowStripes="1" showColumnStripes="0"/>
</table>
</file>

<file path=xl/tables/table617.xml><?xml version="1.0" encoding="utf-8"?>
<table xmlns="http://schemas.openxmlformats.org/spreadsheetml/2006/main" id="617" name="Rehab_77" displayName="Rehab_77" ref="A144:D159" totalsRowShown="0" headerRowDxfId="1479" dataDxfId="1477" headerRowBorderDxfId="1478" tableBorderDxfId="1476" headerRowCellStyle="40% - Accent6">
  <autoFilter ref="A144:D159"/>
  <tableColumns count="4">
    <tableColumn id="1" name="Expense" dataDxfId="1475"/>
    <tableColumn id="2" name="Description" dataDxfId="1474"/>
    <tableColumn id="4" name="Label Name" dataDxfId="1473"/>
    <tableColumn id="5" name="Amount" dataDxfId="1472" dataCellStyle="40% - Accent6"/>
  </tableColumns>
  <tableStyleInfo name="TableStyleLight18" showFirstColumn="0" showLastColumn="0" showRowStripes="1" showColumnStripes="0"/>
</table>
</file>

<file path=xl/tables/table618.xml><?xml version="1.0" encoding="utf-8"?>
<table xmlns="http://schemas.openxmlformats.org/spreadsheetml/2006/main" id="618" name="Grass_78" displayName="Grass_78" ref="A11:D26" totalsRowShown="0" headerRowDxfId="1471" dataDxfId="1469" headerRowBorderDxfId="1470" tableBorderDxfId="1468" headerRowCellStyle="40% - Accent6">
  <autoFilter ref="A11:D26"/>
  <tableColumns count="4">
    <tableColumn id="1" name="Expense" dataDxfId="1467"/>
    <tableColumn id="2" name="Description" dataDxfId="1466"/>
    <tableColumn id="4" name="Label Name" dataDxfId="1465"/>
    <tableColumn id="5" name="Amount" dataDxfId="1464" dataCellStyle="20% - Accent6"/>
  </tableColumns>
  <tableStyleInfo name="TableStyleLight18" showFirstColumn="0" showLastColumn="0" showRowStripes="1" showColumnStripes="0"/>
</table>
</file>

<file path=xl/tables/table619.xml><?xml version="1.0" encoding="utf-8"?>
<table xmlns="http://schemas.openxmlformats.org/spreadsheetml/2006/main" id="619" name="Tree_78" displayName="Tree_78" ref="A30:D45" totalsRowShown="0" headerRowDxfId="1463" dataDxfId="1461" headerRowBorderDxfId="1462" tableBorderDxfId="1460" headerRowCellStyle="40% - Accent6">
  <autoFilter ref="A30:D45"/>
  <tableColumns count="4">
    <tableColumn id="1" name="Expense" dataDxfId="1459"/>
    <tableColumn id="2" name="Description" dataDxfId="1458"/>
    <tableColumn id="4" name="Label Name" dataDxfId="1457"/>
    <tableColumn id="5" name="Amount" dataDxfId="1456" dataCellStyle="40% - Accent6"/>
  </tableColumns>
  <tableStyleInfo name="TableStyleLight18" showFirstColumn="0" showLastColumn="0" showRowStripes="1" showColumnStripes="0"/>
</table>
</file>

<file path=xl/tables/table62.xml><?xml version="1.0" encoding="utf-8"?>
<table xmlns="http://schemas.openxmlformats.org/spreadsheetml/2006/main" id="127" name="Boarding_8" displayName="Boarding_8" ref="A87:D102" totalsRowShown="0" headerRowDxfId="5919" dataDxfId="5917" headerRowBorderDxfId="5918" tableBorderDxfId="5916" headerRowCellStyle="40% - Accent6">
  <autoFilter ref="A87:D102"/>
  <tableColumns count="4">
    <tableColumn id="1" name="Expense" dataDxfId="5915"/>
    <tableColumn id="2" name="Description" dataDxfId="5914"/>
    <tableColumn id="4" name="Label Name" dataDxfId="5913"/>
    <tableColumn id="5" name="Amount" dataDxfId="5912" dataCellStyle="40% - Accent6"/>
  </tableColumns>
  <tableStyleInfo name="TableStyleLight18" showFirstColumn="0" showLastColumn="0" showRowStripes="1" showColumnStripes="0"/>
</table>
</file>

<file path=xl/tables/table620.xml><?xml version="1.0" encoding="utf-8"?>
<table xmlns="http://schemas.openxmlformats.org/spreadsheetml/2006/main" id="620" name="Pest_78" displayName="Pest_78" ref="A49:D64" totalsRowShown="0" headerRowDxfId="1455" dataDxfId="1453" headerRowBorderDxfId="1454" tableBorderDxfId="1452" headerRowCellStyle="40% - Accent6">
  <autoFilter ref="A49:D64"/>
  <tableColumns count="4">
    <tableColumn id="1" name="Expense" dataDxfId="1451"/>
    <tableColumn id="2" name="Description" dataDxfId="1450"/>
    <tableColumn id="4" name="Label Name" dataDxfId="1449"/>
    <tableColumn id="5" name="Amount" dataDxfId="1448" dataCellStyle="40% - Accent6"/>
  </tableColumns>
  <tableStyleInfo name="TableStyleLight18" showFirstColumn="0" showLastColumn="0" showRowStripes="1" showColumnStripes="0"/>
</table>
</file>

<file path=xl/tables/table621.xml><?xml version="1.0" encoding="utf-8"?>
<table xmlns="http://schemas.openxmlformats.org/spreadsheetml/2006/main" id="621" name="Garbage_78" displayName="Garbage_78" ref="A68:D83" totalsRowShown="0" headerRowDxfId="1447" dataDxfId="1445" headerRowBorderDxfId="1446" tableBorderDxfId="1444" headerRowCellStyle="40% - Accent6">
  <autoFilter ref="A68:D83"/>
  <tableColumns count="4">
    <tableColumn id="1" name="Expense" dataDxfId="1443"/>
    <tableColumn id="2" name="Description" dataDxfId="1442"/>
    <tableColumn id="4" name="Label Name" dataDxfId="1441"/>
    <tableColumn id="5" name="Amount" dataDxfId="1440" dataCellStyle="20% - Accent6"/>
  </tableColumns>
  <tableStyleInfo name="TableStyleLight18" showFirstColumn="0" showLastColumn="0" showRowStripes="1" showColumnStripes="0"/>
</table>
</file>

<file path=xl/tables/table622.xml><?xml version="1.0" encoding="utf-8"?>
<table xmlns="http://schemas.openxmlformats.org/spreadsheetml/2006/main" id="622" name="Boarding_78" displayName="Boarding_78" ref="A87:D102" totalsRowShown="0" headerRowDxfId="1439" dataDxfId="1437" headerRowBorderDxfId="1438" tableBorderDxfId="1436" headerRowCellStyle="40% - Accent6">
  <autoFilter ref="A87:D102"/>
  <tableColumns count="4">
    <tableColumn id="1" name="Expense" dataDxfId="1435"/>
    <tableColumn id="2" name="Description" dataDxfId="1434"/>
    <tableColumn id="4" name="Label Name" dataDxfId="1433"/>
    <tableColumn id="5" name="Amount" dataDxfId="1432" dataCellStyle="40% - Accent6"/>
  </tableColumns>
  <tableStyleInfo name="TableStyleLight18" showFirstColumn="0" showLastColumn="0" showRowStripes="1" showColumnStripes="0"/>
</table>
</file>

<file path=xl/tables/table623.xml><?xml version="1.0" encoding="utf-8"?>
<table xmlns="http://schemas.openxmlformats.org/spreadsheetml/2006/main" id="623" name="Fence_78" displayName="Fence_78" ref="A106:D121" totalsRowShown="0" headerRowDxfId="1431" dataDxfId="1429" headerRowBorderDxfId="1430" tableBorderDxfId="1428" headerRowCellStyle="40% - Accent6">
  <autoFilter ref="A106:D121"/>
  <tableColumns count="4">
    <tableColumn id="1" name="Expense" dataDxfId="1427"/>
    <tableColumn id="2" name="Description" dataDxfId="1426"/>
    <tableColumn id="4" name="Label Name" dataDxfId="1425"/>
    <tableColumn id="5" name="Amount" dataDxfId="1424" dataCellStyle="40% - Accent6"/>
  </tableColumns>
  <tableStyleInfo name="TableStyleLight18" showFirstColumn="0" showLastColumn="0" showRowStripes="1" showColumnStripes="0"/>
</table>
</file>

<file path=xl/tables/table624.xml><?xml version="1.0" encoding="utf-8"?>
<table xmlns="http://schemas.openxmlformats.org/spreadsheetml/2006/main" id="624" name="Demolition_78" displayName="Demolition_78" ref="A125:D140" totalsRowShown="0" headerRowDxfId="1423" dataDxfId="1421" headerRowBorderDxfId="1422" tableBorderDxfId="1420" headerRowCellStyle="40% - Accent6">
  <autoFilter ref="A125:D140"/>
  <tableColumns count="4">
    <tableColumn id="1" name="Expense" dataDxfId="1419"/>
    <tableColumn id="2" name="Description" dataDxfId="1418"/>
    <tableColumn id="4" name="Label Name" dataDxfId="1417"/>
    <tableColumn id="5" name="Amount" dataDxfId="1416" dataCellStyle="40% - Accent6"/>
  </tableColumns>
  <tableStyleInfo name="TableStyleLight18" showFirstColumn="0" showLastColumn="0" showRowStripes="1" showColumnStripes="0"/>
</table>
</file>

<file path=xl/tables/table625.xml><?xml version="1.0" encoding="utf-8"?>
<table xmlns="http://schemas.openxmlformats.org/spreadsheetml/2006/main" id="625" name="Rehab_78" displayName="Rehab_78" ref="A144:D159" totalsRowShown="0" headerRowDxfId="1415" dataDxfId="1413" headerRowBorderDxfId="1414" tableBorderDxfId="1412" headerRowCellStyle="40% - Accent6">
  <autoFilter ref="A144:D159"/>
  <tableColumns count="4">
    <tableColumn id="1" name="Expense" dataDxfId="1411"/>
    <tableColumn id="2" name="Description" dataDxfId="1410"/>
    <tableColumn id="4" name="Label Name" dataDxfId="1409"/>
    <tableColumn id="5" name="Amount" dataDxfId="1408" dataCellStyle="40% - Accent6"/>
  </tableColumns>
  <tableStyleInfo name="TableStyleLight18" showFirstColumn="0" showLastColumn="0" showRowStripes="1" showColumnStripes="0"/>
</table>
</file>

<file path=xl/tables/table626.xml><?xml version="1.0" encoding="utf-8"?>
<table xmlns="http://schemas.openxmlformats.org/spreadsheetml/2006/main" id="626" name="Grass_79" displayName="Grass_79" ref="A11:D26" totalsRowShown="0" headerRowDxfId="1407" dataDxfId="1405" headerRowBorderDxfId="1406" tableBorderDxfId="1404" headerRowCellStyle="40% - Accent6">
  <autoFilter ref="A11:D26"/>
  <tableColumns count="4">
    <tableColumn id="1" name="Expense" dataDxfId="1403"/>
    <tableColumn id="2" name="Description" dataDxfId="1402"/>
    <tableColumn id="4" name="Label Name" dataDxfId="1401"/>
    <tableColumn id="5" name="Amount" dataDxfId="1400" dataCellStyle="20% - Accent6"/>
  </tableColumns>
  <tableStyleInfo name="TableStyleLight18" showFirstColumn="0" showLastColumn="0" showRowStripes="1" showColumnStripes="0"/>
</table>
</file>

<file path=xl/tables/table627.xml><?xml version="1.0" encoding="utf-8"?>
<table xmlns="http://schemas.openxmlformats.org/spreadsheetml/2006/main" id="627" name="Tree_79" displayName="Tree_79" ref="A30:D45" totalsRowShown="0" headerRowDxfId="1399" dataDxfId="1397" headerRowBorderDxfId="1398" tableBorderDxfId="1396" headerRowCellStyle="40% - Accent6">
  <autoFilter ref="A30:D45"/>
  <tableColumns count="4">
    <tableColumn id="1" name="Expense" dataDxfId="1395"/>
    <tableColumn id="2" name="Description" dataDxfId="1394"/>
    <tableColumn id="4" name="Label Name" dataDxfId="1393"/>
    <tableColumn id="5" name="Amount" dataDxfId="1392" dataCellStyle="40% - Accent6"/>
  </tableColumns>
  <tableStyleInfo name="TableStyleLight18" showFirstColumn="0" showLastColumn="0" showRowStripes="1" showColumnStripes="0"/>
</table>
</file>

<file path=xl/tables/table628.xml><?xml version="1.0" encoding="utf-8"?>
<table xmlns="http://schemas.openxmlformats.org/spreadsheetml/2006/main" id="628" name="Pest_79" displayName="Pest_79" ref="A49:D64" totalsRowShown="0" headerRowDxfId="1391" dataDxfId="1389" headerRowBorderDxfId="1390" tableBorderDxfId="1388" headerRowCellStyle="40% - Accent6">
  <autoFilter ref="A49:D64"/>
  <tableColumns count="4">
    <tableColumn id="1" name="Expense" dataDxfId="1387"/>
    <tableColumn id="2" name="Description" dataDxfId="1386"/>
    <tableColumn id="4" name="Label Name" dataDxfId="1385"/>
    <tableColumn id="5" name="Amount" dataDxfId="1384" dataCellStyle="40% - Accent6"/>
  </tableColumns>
  <tableStyleInfo name="TableStyleLight18" showFirstColumn="0" showLastColumn="0" showRowStripes="1" showColumnStripes="0"/>
</table>
</file>

<file path=xl/tables/table629.xml><?xml version="1.0" encoding="utf-8"?>
<table xmlns="http://schemas.openxmlformats.org/spreadsheetml/2006/main" id="629" name="Garbage_79" displayName="Garbage_79" ref="A68:D83" totalsRowShown="0" headerRowDxfId="1383" dataDxfId="1381" headerRowBorderDxfId="1382" tableBorderDxfId="1380" headerRowCellStyle="40% - Accent6">
  <autoFilter ref="A68:D83"/>
  <tableColumns count="4">
    <tableColumn id="1" name="Expense" dataDxfId="1379"/>
    <tableColumn id="2" name="Description" dataDxfId="1378"/>
    <tableColumn id="4" name="Label Name" dataDxfId="1377"/>
    <tableColumn id="5" name="Amount" dataDxfId="1376" dataCellStyle="20% - Accent6"/>
  </tableColumns>
  <tableStyleInfo name="TableStyleLight18" showFirstColumn="0" showLastColumn="0" showRowStripes="1" showColumnStripes="0"/>
</table>
</file>

<file path=xl/tables/table63.xml><?xml version="1.0" encoding="utf-8"?>
<table xmlns="http://schemas.openxmlformats.org/spreadsheetml/2006/main" id="128" name="Fence_8" displayName="Fence_8" ref="A106:D121" totalsRowShown="0" headerRowDxfId="5911" dataDxfId="5909" headerRowBorderDxfId="5910" tableBorderDxfId="5908" headerRowCellStyle="40% - Accent6">
  <autoFilter ref="A106:D121"/>
  <tableColumns count="4">
    <tableColumn id="1" name="Expense" dataDxfId="5907"/>
    <tableColumn id="2" name="Description" dataDxfId="5906"/>
    <tableColumn id="4" name="Label Name" dataDxfId="5905"/>
    <tableColumn id="5" name="Amount" dataDxfId="5904" dataCellStyle="40% - Accent6"/>
  </tableColumns>
  <tableStyleInfo name="TableStyleLight18" showFirstColumn="0" showLastColumn="0" showRowStripes="1" showColumnStripes="0"/>
</table>
</file>

<file path=xl/tables/table630.xml><?xml version="1.0" encoding="utf-8"?>
<table xmlns="http://schemas.openxmlformats.org/spreadsheetml/2006/main" id="630" name="Boarding_79" displayName="Boarding_79" ref="A87:D102" totalsRowShown="0" headerRowDxfId="1375" dataDxfId="1373" headerRowBorderDxfId="1374" tableBorderDxfId="1372" headerRowCellStyle="40% - Accent6">
  <autoFilter ref="A87:D102"/>
  <tableColumns count="4">
    <tableColumn id="1" name="Expense" dataDxfId="1371"/>
    <tableColumn id="2" name="Description" dataDxfId="1370"/>
    <tableColumn id="4" name="Label Name" dataDxfId="1369"/>
    <tableColumn id="5" name="Amount" dataDxfId="1368" dataCellStyle="40% - Accent6"/>
  </tableColumns>
  <tableStyleInfo name="TableStyleLight18" showFirstColumn="0" showLastColumn="0" showRowStripes="1" showColumnStripes="0"/>
</table>
</file>

<file path=xl/tables/table631.xml><?xml version="1.0" encoding="utf-8"?>
<table xmlns="http://schemas.openxmlformats.org/spreadsheetml/2006/main" id="631" name="Fence_79" displayName="Fence_79" ref="A106:D121" totalsRowShown="0" headerRowDxfId="1367" dataDxfId="1365" headerRowBorderDxfId="1366" tableBorderDxfId="1364" headerRowCellStyle="40% - Accent6">
  <autoFilter ref="A106:D121"/>
  <tableColumns count="4">
    <tableColumn id="1" name="Expense" dataDxfId="1363"/>
    <tableColumn id="2" name="Description" dataDxfId="1362"/>
    <tableColumn id="4" name="Label Name" dataDxfId="1361"/>
    <tableColumn id="5" name="Amount" dataDxfId="1360" dataCellStyle="40% - Accent6"/>
  </tableColumns>
  <tableStyleInfo name="TableStyleLight18" showFirstColumn="0" showLastColumn="0" showRowStripes="1" showColumnStripes="0"/>
</table>
</file>

<file path=xl/tables/table632.xml><?xml version="1.0" encoding="utf-8"?>
<table xmlns="http://schemas.openxmlformats.org/spreadsheetml/2006/main" id="632" name="Demolition_79" displayName="Demolition_79" ref="A125:D140" totalsRowShown="0" headerRowDxfId="1359" dataDxfId="1357" headerRowBorderDxfId="1358" tableBorderDxfId="1356" headerRowCellStyle="40% - Accent6">
  <autoFilter ref="A125:D140"/>
  <tableColumns count="4">
    <tableColumn id="1" name="Expense" dataDxfId="1355"/>
    <tableColumn id="2" name="Description" dataDxfId="1354"/>
    <tableColumn id="4" name="Label Name" dataDxfId="1353"/>
    <tableColumn id="5" name="Amount" dataDxfId="1352" dataCellStyle="40% - Accent6"/>
  </tableColumns>
  <tableStyleInfo name="TableStyleLight18" showFirstColumn="0" showLastColumn="0" showRowStripes="1" showColumnStripes="0"/>
</table>
</file>

<file path=xl/tables/table633.xml><?xml version="1.0" encoding="utf-8"?>
<table xmlns="http://schemas.openxmlformats.org/spreadsheetml/2006/main" id="633" name="Rehab_79" displayName="Rehab_79" ref="A144:D159" totalsRowShown="0" headerRowDxfId="1351" dataDxfId="1349" headerRowBorderDxfId="1350" tableBorderDxfId="1348" headerRowCellStyle="40% - Accent6">
  <autoFilter ref="A144:D159"/>
  <tableColumns count="4">
    <tableColumn id="1" name="Expense" dataDxfId="1347"/>
    <tableColumn id="2" name="Description" dataDxfId="1346"/>
    <tableColumn id="4" name="Label Name" dataDxfId="1345"/>
    <tableColumn id="5" name="Amount" dataDxfId="1344" dataCellStyle="40% - Accent6"/>
  </tableColumns>
  <tableStyleInfo name="TableStyleLight18" showFirstColumn="0" showLastColumn="0" showRowStripes="1" showColumnStripes="0"/>
</table>
</file>

<file path=xl/tables/table634.xml><?xml version="1.0" encoding="utf-8"?>
<table xmlns="http://schemas.openxmlformats.org/spreadsheetml/2006/main" id="634" name="Grass_80" displayName="Grass_80" ref="A11:D26" totalsRowShown="0" headerRowDxfId="1343" dataDxfId="1341" headerRowBorderDxfId="1342" tableBorderDxfId="1340" headerRowCellStyle="40% - Accent6">
  <autoFilter ref="A11:D26"/>
  <tableColumns count="4">
    <tableColumn id="1" name="Expense" dataDxfId="1339"/>
    <tableColumn id="2" name="Description" dataDxfId="1338"/>
    <tableColumn id="4" name="Label Name" dataDxfId="1337"/>
    <tableColumn id="5" name="Amount" dataDxfId="1336" dataCellStyle="20% - Accent6"/>
  </tableColumns>
  <tableStyleInfo name="TableStyleLight18" showFirstColumn="0" showLastColumn="0" showRowStripes="1" showColumnStripes="0"/>
</table>
</file>

<file path=xl/tables/table635.xml><?xml version="1.0" encoding="utf-8"?>
<table xmlns="http://schemas.openxmlformats.org/spreadsheetml/2006/main" id="635" name="Tree_80" displayName="Tree_80" ref="A30:D45" totalsRowShown="0" headerRowDxfId="1335" dataDxfId="1333" headerRowBorderDxfId="1334" tableBorderDxfId="1332" headerRowCellStyle="40% - Accent6">
  <autoFilter ref="A30:D45"/>
  <tableColumns count="4">
    <tableColumn id="1" name="Expense" dataDxfId="1331"/>
    <tableColumn id="2" name="Description" dataDxfId="1330"/>
    <tableColumn id="4" name="Label Name" dataDxfId="1329"/>
    <tableColumn id="5" name="Amount" dataDxfId="1328" dataCellStyle="40% - Accent6"/>
  </tableColumns>
  <tableStyleInfo name="TableStyleLight18" showFirstColumn="0" showLastColumn="0" showRowStripes="1" showColumnStripes="0"/>
</table>
</file>

<file path=xl/tables/table636.xml><?xml version="1.0" encoding="utf-8"?>
<table xmlns="http://schemas.openxmlformats.org/spreadsheetml/2006/main" id="636" name="Pest_80" displayName="Pest_80" ref="A49:D64" totalsRowShown="0" headerRowDxfId="1327" dataDxfId="1325" headerRowBorderDxfId="1326" tableBorderDxfId="1324" headerRowCellStyle="40% - Accent6">
  <autoFilter ref="A49:D64"/>
  <tableColumns count="4">
    <tableColumn id="1" name="Expense" dataDxfId="1323"/>
    <tableColumn id="2" name="Description" dataDxfId="1322"/>
    <tableColumn id="4" name="Label Name" dataDxfId="1321"/>
    <tableColumn id="5" name="Amount" dataDxfId="1320" dataCellStyle="40% - Accent6"/>
  </tableColumns>
  <tableStyleInfo name="TableStyleLight18" showFirstColumn="0" showLastColumn="0" showRowStripes="1" showColumnStripes="0"/>
</table>
</file>

<file path=xl/tables/table637.xml><?xml version="1.0" encoding="utf-8"?>
<table xmlns="http://schemas.openxmlformats.org/spreadsheetml/2006/main" id="637" name="Garbage_80" displayName="Garbage_80" ref="A68:D83" totalsRowShown="0" headerRowDxfId="1319" dataDxfId="1317" headerRowBorderDxfId="1318" tableBorderDxfId="1316" headerRowCellStyle="40% - Accent6">
  <autoFilter ref="A68:D83"/>
  <tableColumns count="4">
    <tableColumn id="1" name="Expense" dataDxfId="1315"/>
    <tableColumn id="2" name="Description" dataDxfId="1314"/>
    <tableColumn id="4" name="Label Name" dataDxfId="1313"/>
    <tableColumn id="5" name="Amount" dataDxfId="1312" dataCellStyle="20% - Accent6"/>
  </tableColumns>
  <tableStyleInfo name="TableStyleLight18" showFirstColumn="0" showLastColumn="0" showRowStripes="1" showColumnStripes="0"/>
</table>
</file>

<file path=xl/tables/table638.xml><?xml version="1.0" encoding="utf-8"?>
<table xmlns="http://schemas.openxmlformats.org/spreadsheetml/2006/main" id="638" name="Boarding_80" displayName="Boarding_80" ref="A87:D102" totalsRowShown="0" headerRowDxfId="1311" dataDxfId="1309" headerRowBorderDxfId="1310" tableBorderDxfId="1308" headerRowCellStyle="40% - Accent6">
  <autoFilter ref="A87:D102"/>
  <tableColumns count="4">
    <tableColumn id="1" name="Expense" dataDxfId="1307"/>
    <tableColumn id="2" name="Description" dataDxfId="1306"/>
    <tableColumn id="4" name="Label Name" dataDxfId="1305"/>
    <tableColumn id="5" name="Amount" dataDxfId="1304" dataCellStyle="40% - Accent6"/>
  </tableColumns>
  <tableStyleInfo name="TableStyleLight18" showFirstColumn="0" showLastColumn="0" showRowStripes="1" showColumnStripes="0"/>
</table>
</file>

<file path=xl/tables/table639.xml><?xml version="1.0" encoding="utf-8"?>
<table xmlns="http://schemas.openxmlformats.org/spreadsheetml/2006/main" id="639" name="Fence_80" displayName="Fence_80" ref="A106:D121" totalsRowShown="0" headerRowDxfId="1303" dataDxfId="1301" headerRowBorderDxfId="1302" tableBorderDxfId="1300" headerRowCellStyle="40% - Accent6">
  <autoFilter ref="A106:D121"/>
  <tableColumns count="4">
    <tableColumn id="1" name="Expense" dataDxfId="1299"/>
    <tableColumn id="2" name="Description" dataDxfId="1298"/>
    <tableColumn id="4" name="Label Name" dataDxfId="1297"/>
    <tableColumn id="5" name="Amount" dataDxfId="1296" dataCellStyle="40% - Accent6"/>
  </tableColumns>
  <tableStyleInfo name="TableStyleLight18" showFirstColumn="0" showLastColumn="0" showRowStripes="1" showColumnStripes="0"/>
</table>
</file>

<file path=xl/tables/table64.xml><?xml version="1.0" encoding="utf-8"?>
<table xmlns="http://schemas.openxmlformats.org/spreadsheetml/2006/main" id="129" name="Demolition_8" displayName="Demolition_8" ref="A125:D140" totalsRowShown="0" headerRowDxfId="5903" dataDxfId="5901" headerRowBorderDxfId="5902" tableBorderDxfId="5900" headerRowCellStyle="40% - Accent6">
  <autoFilter ref="A125:D140"/>
  <tableColumns count="4">
    <tableColumn id="1" name="Expense" dataDxfId="5899"/>
    <tableColumn id="2" name="Description" dataDxfId="5898"/>
    <tableColumn id="4" name="Label Name" dataDxfId="5897"/>
    <tableColumn id="5" name="Amount" dataDxfId="5896" dataCellStyle="40% - Accent6"/>
  </tableColumns>
  <tableStyleInfo name="TableStyleLight18" showFirstColumn="0" showLastColumn="0" showRowStripes="1" showColumnStripes="0"/>
</table>
</file>

<file path=xl/tables/table640.xml><?xml version="1.0" encoding="utf-8"?>
<table xmlns="http://schemas.openxmlformats.org/spreadsheetml/2006/main" id="640" name="Demolition_80" displayName="Demolition_80" ref="A125:D140" totalsRowShown="0" headerRowDxfId="1295" dataDxfId="1293" headerRowBorderDxfId="1294" tableBorderDxfId="1292" headerRowCellStyle="40% - Accent6">
  <autoFilter ref="A125:D140"/>
  <tableColumns count="4">
    <tableColumn id="1" name="Expense" dataDxfId="1291"/>
    <tableColumn id="2" name="Description" dataDxfId="1290"/>
    <tableColumn id="4" name="Label Name" dataDxfId="1289"/>
    <tableColumn id="5" name="Amount" dataDxfId="1288" dataCellStyle="40% - Accent6"/>
  </tableColumns>
  <tableStyleInfo name="TableStyleLight18" showFirstColumn="0" showLastColumn="0" showRowStripes="1" showColumnStripes="0"/>
</table>
</file>

<file path=xl/tables/table641.xml><?xml version="1.0" encoding="utf-8"?>
<table xmlns="http://schemas.openxmlformats.org/spreadsheetml/2006/main" id="641" name="Rehab_80" displayName="Rehab_80" ref="A144:D159" totalsRowShown="0" headerRowDxfId="1287" dataDxfId="1285" headerRowBorderDxfId="1286" tableBorderDxfId="1284" headerRowCellStyle="40% - Accent6">
  <autoFilter ref="A144:D159"/>
  <tableColumns count="4">
    <tableColumn id="1" name="Expense" dataDxfId="1283"/>
    <tableColumn id="2" name="Description" dataDxfId="1282"/>
    <tableColumn id="4" name="Label Name" dataDxfId="1281"/>
    <tableColumn id="5" name="Amount" dataDxfId="1280" dataCellStyle="40% - Accent6"/>
  </tableColumns>
  <tableStyleInfo name="TableStyleLight18" showFirstColumn="0" showLastColumn="0" showRowStripes="1" showColumnStripes="0"/>
</table>
</file>

<file path=xl/tables/table642.xml><?xml version="1.0" encoding="utf-8"?>
<table xmlns="http://schemas.openxmlformats.org/spreadsheetml/2006/main" id="642" name="Grass_81" displayName="Grass_81" ref="A11:D26" totalsRowShown="0" headerRowDxfId="1279" dataDxfId="1277" headerRowBorderDxfId="1278" tableBorderDxfId="1276" headerRowCellStyle="40% - Accent6">
  <autoFilter ref="A11:D26"/>
  <tableColumns count="4">
    <tableColumn id="1" name="Expense" dataDxfId="1275"/>
    <tableColumn id="2" name="Description" dataDxfId="1274"/>
    <tableColumn id="4" name="Label Name" dataDxfId="1273"/>
    <tableColumn id="5" name="Amount" dataDxfId="1272" dataCellStyle="20% - Accent6"/>
  </tableColumns>
  <tableStyleInfo name="TableStyleLight18" showFirstColumn="0" showLastColumn="0" showRowStripes="1" showColumnStripes="0"/>
</table>
</file>

<file path=xl/tables/table643.xml><?xml version="1.0" encoding="utf-8"?>
<table xmlns="http://schemas.openxmlformats.org/spreadsheetml/2006/main" id="643" name="Tree_81" displayName="Tree_81" ref="A30:D45" totalsRowShown="0" headerRowDxfId="1271" dataDxfId="1269" headerRowBorderDxfId="1270" tableBorderDxfId="1268" headerRowCellStyle="40% - Accent6">
  <autoFilter ref="A30:D45"/>
  <tableColumns count="4">
    <tableColumn id="1" name="Expense" dataDxfId="1267"/>
    <tableColumn id="2" name="Description" dataDxfId="1266"/>
    <tableColumn id="4" name="Label Name" dataDxfId="1265"/>
    <tableColumn id="5" name="Amount" dataDxfId="1264" dataCellStyle="40% - Accent6"/>
  </tableColumns>
  <tableStyleInfo name="TableStyleLight18" showFirstColumn="0" showLastColumn="0" showRowStripes="1" showColumnStripes="0"/>
</table>
</file>

<file path=xl/tables/table644.xml><?xml version="1.0" encoding="utf-8"?>
<table xmlns="http://schemas.openxmlformats.org/spreadsheetml/2006/main" id="644" name="Pest_81" displayName="Pest_81" ref="A49:D64" totalsRowShown="0" headerRowDxfId="1263" dataDxfId="1261" headerRowBorderDxfId="1262" tableBorderDxfId="1260" headerRowCellStyle="40% - Accent6">
  <autoFilter ref="A49:D64"/>
  <tableColumns count="4">
    <tableColumn id="1" name="Expense" dataDxfId="1259"/>
    <tableColumn id="2" name="Description" dataDxfId="1258"/>
    <tableColumn id="4" name="Label Name" dataDxfId="1257"/>
    <tableColumn id="5" name="Amount" dataDxfId="1256" dataCellStyle="40% - Accent6"/>
  </tableColumns>
  <tableStyleInfo name="TableStyleLight18" showFirstColumn="0" showLastColumn="0" showRowStripes="1" showColumnStripes="0"/>
</table>
</file>

<file path=xl/tables/table645.xml><?xml version="1.0" encoding="utf-8"?>
<table xmlns="http://schemas.openxmlformats.org/spreadsheetml/2006/main" id="645" name="Garbage_81" displayName="Garbage_81" ref="A68:D83" totalsRowShown="0" headerRowDxfId="1255" dataDxfId="1253" headerRowBorderDxfId="1254" tableBorderDxfId="1252" headerRowCellStyle="40% - Accent6">
  <autoFilter ref="A68:D83"/>
  <tableColumns count="4">
    <tableColumn id="1" name="Expense" dataDxfId="1251"/>
    <tableColumn id="2" name="Description" dataDxfId="1250"/>
    <tableColumn id="4" name="Label Name" dataDxfId="1249"/>
    <tableColumn id="5" name="Amount" dataDxfId="1248" dataCellStyle="20% - Accent6"/>
  </tableColumns>
  <tableStyleInfo name="TableStyleLight18" showFirstColumn="0" showLastColumn="0" showRowStripes="1" showColumnStripes="0"/>
</table>
</file>

<file path=xl/tables/table646.xml><?xml version="1.0" encoding="utf-8"?>
<table xmlns="http://schemas.openxmlformats.org/spreadsheetml/2006/main" id="646" name="Boarding_81" displayName="Boarding_81" ref="A87:D102" totalsRowShown="0" headerRowDxfId="1247" dataDxfId="1245" headerRowBorderDxfId="1246" tableBorderDxfId="1244" headerRowCellStyle="40% - Accent6">
  <autoFilter ref="A87:D102"/>
  <tableColumns count="4">
    <tableColumn id="1" name="Expense" dataDxfId="1243"/>
    <tableColumn id="2" name="Description" dataDxfId="1242"/>
    <tableColumn id="4" name="Label Name" dataDxfId="1241"/>
    <tableColumn id="5" name="Amount" dataDxfId="1240" dataCellStyle="40% - Accent6"/>
  </tableColumns>
  <tableStyleInfo name="TableStyleLight18" showFirstColumn="0" showLastColumn="0" showRowStripes="1" showColumnStripes="0"/>
</table>
</file>

<file path=xl/tables/table647.xml><?xml version="1.0" encoding="utf-8"?>
<table xmlns="http://schemas.openxmlformats.org/spreadsheetml/2006/main" id="647" name="Fence_81" displayName="Fence_81" ref="A106:D121" totalsRowShown="0" headerRowDxfId="1239" dataDxfId="1237" headerRowBorderDxfId="1238" tableBorderDxfId="1236" headerRowCellStyle="40% - Accent6">
  <autoFilter ref="A106:D121"/>
  <tableColumns count="4">
    <tableColumn id="1" name="Expense" dataDxfId="1235"/>
    <tableColumn id="2" name="Description" dataDxfId="1234"/>
    <tableColumn id="4" name="Label Name" dataDxfId="1233"/>
    <tableColumn id="5" name="Amount" dataDxfId="1232" dataCellStyle="40% - Accent6"/>
  </tableColumns>
  <tableStyleInfo name="TableStyleLight18" showFirstColumn="0" showLastColumn="0" showRowStripes="1" showColumnStripes="0"/>
</table>
</file>

<file path=xl/tables/table648.xml><?xml version="1.0" encoding="utf-8"?>
<table xmlns="http://schemas.openxmlformats.org/spreadsheetml/2006/main" id="648" name="Demolition_81" displayName="Demolition_81" ref="A125:D140" totalsRowShown="0" headerRowDxfId="1231" dataDxfId="1229" headerRowBorderDxfId="1230" tableBorderDxfId="1228" headerRowCellStyle="40% - Accent6">
  <autoFilter ref="A125:D140"/>
  <tableColumns count="4">
    <tableColumn id="1" name="Expense" dataDxfId="1227"/>
    <tableColumn id="2" name="Description" dataDxfId="1226"/>
    <tableColumn id="4" name="Label Name" dataDxfId="1225"/>
    <tableColumn id="5" name="Amount" dataDxfId="1224" dataCellStyle="40% - Accent6"/>
  </tableColumns>
  <tableStyleInfo name="TableStyleLight18" showFirstColumn="0" showLastColumn="0" showRowStripes="1" showColumnStripes="0"/>
</table>
</file>

<file path=xl/tables/table649.xml><?xml version="1.0" encoding="utf-8"?>
<table xmlns="http://schemas.openxmlformats.org/spreadsheetml/2006/main" id="649" name="Rehab_81" displayName="Rehab_81" ref="A144:D159" totalsRowShown="0" headerRowDxfId="1223" dataDxfId="1221" headerRowBorderDxfId="1222" tableBorderDxfId="1220" headerRowCellStyle="40% - Accent6">
  <autoFilter ref="A144:D159"/>
  <tableColumns count="4">
    <tableColumn id="1" name="Expense" dataDxfId="1219"/>
    <tableColumn id="2" name="Description" dataDxfId="1218"/>
    <tableColumn id="4" name="Label Name" dataDxfId="1217"/>
    <tableColumn id="5" name="Amount" dataDxfId="1216" dataCellStyle="40% - Accent6"/>
  </tableColumns>
  <tableStyleInfo name="TableStyleLight18" showFirstColumn="0" showLastColumn="0" showRowStripes="1" showColumnStripes="0"/>
</table>
</file>

<file path=xl/tables/table65.xml><?xml version="1.0" encoding="utf-8"?>
<table xmlns="http://schemas.openxmlformats.org/spreadsheetml/2006/main" id="130" name="Rehab_8" displayName="Rehab_8" ref="A144:D159" totalsRowShown="0" headerRowDxfId="5895" dataDxfId="5893" headerRowBorderDxfId="5894" tableBorderDxfId="5892" headerRowCellStyle="40% - Accent6">
  <autoFilter ref="A144:D159"/>
  <tableColumns count="4">
    <tableColumn id="1" name="Expense" dataDxfId="5891"/>
    <tableColumn id="2" name="Description" dataDxfId="5890"/>
    <tableColumn id="4" name="Label Name" dataDxfId="5889"/>
    <tableColumn id="5" name="Amount" dataDxfId="5888" dataCellStyle="40% - Accent6"/>
  </tableColumns>
  <tableStyleInfo name="TableStyleLight18" showFirstColumn="0" showLastColumn="0" showRowStripes="1" showColumnStripes="0"/>
</table>
</file>

<file path=xl/tables/table650.xml><?xml version="1.0" encoding="utf-8"?>
<table xmlns="http://schemas.openxmlformats.org/spreadsheetml/2006/main" id="650" name="Grass_82" displayName="Grass_82" ref="A11:D26" totalsRowShown="0" headerRowDxfId="1215" dataDxfId="1213" headerRowBorderDxfId="1214" tableBorderDxfId="1212" headerRowCellStyle="40% - Accent6">
  <autoFilter ref="A11:D26"/>
  <tableColumns count="4">
    <tableColumn id="1" name="Expense" dataDxfId="1211"/>
    <tableColumn id="2" name="Description" dataDxfId="1210"/>
    <tableColumn id="4" name="Label Name" dataDxfId="1209"/>
    <tableColumn id="5" name="Amount" dataDxfId="1208" dataCellStyle="20% - Accent6"/>
  </tableColumns>
  <tableStyleInfo name="TableStyleLight18" showFirstColumn="0" showLastColumn="0" showRowStripes="1" showColumnStripes="0"/>
</table>
</file>

<file path=xl/tables/table651.xml><?xml version="1.0" encoding="utf-8"?>
<table xmlns="http://schemas.openxmlformats.org/spreadsheetml/2006/main" id="651" name="Tree_82" displayName="Tree_82" ref="A30:D45" totalsRowShown="0" headerRowDxfId="1207" dataDxfId="1205" headerRowBorderDxfId="1206" tableBorderDxfId="1204" headerRowCellStyle="40% - Accent6">
  <autoFilter ref="A30:D45"/>
  <tableColumns count="4">
    <tableColumn id="1" name="Expense" dataDxfId="1203"/>
    <tableColumn id="2" name="Description" dataDxfId="1202"/>
    <tableColumn id="4" name="Label Name" dataDxfId="1201"/>
    <tableColumn id="5" name="Amount" dataDxfId="1200" dataCellStyle="40% - Accent6"/>
  </tableColumns>
  <tableStyleInfo name="TableStyleLight18" showFirstColumn="0" showLastColumn="0" showRowStripes="1" showColumnStripes="0"/>
</table>
</file>

<file path=xl/tables/table652.xml><?xml version="1.0" encoding="utf-8"?>
<table xmlns="http://schemas.openxmlformats.org/spreadsheetml/2006/main" id="652" name="Pest_82" displayName="Pest_82" ref="A49:D64" totalsRowShown="0" headerRowDxfId="1199" dataDxfId="1197" headerRowBorderDxfId="1198" tableBorderDxfId="1196" headerRowCellStyle="40% - Accent6">
  <autoFilter ref="A49:D64"/>
  <tableColumns count="4">
    <tableColumn id="1" name="Expense" dataDxfId="1195"/>
    <tableColumn id="2" name="Description" dataDxfId="1194"/>
    <tableColumn id="4" name="Label Name" dataDxfId="1193"/>
    <tableColumn id="5" name="Amount" dataDxfId="1192" dataCellStyle="40% - Accent6"/>
  </tableColumns>
  <tableStyleInfo name="TableStyleLight18" showFirstColumn="0" showLastColumn="0" showRowStripes="1" showColumnStripes="0"/>
</table>
</file>

<file path=xl/tables/table653.xml><?xml version="1.0" encoding="utf-8"?>
<table xmlns="http://schemas.openxmlformats.org/spreadsheetml/2006/main" id="653" name="Garbage_82" displayName="Garbage_82" ref="A68:D83" totalsRowShown="0" headerRowDxfId="1191" dataDxfId="1189" headerRowBorderDxfId="1190" tableBorderDxfId="1188" headerRowCellStyle="40% - Accent6">
  <autoFilter ref="A68:D83"/>
  <tableColumns count="4">
    <tableColumn id="1" name="Expense" dataDxfId="1187"/>
    <tableColumn id="2" name="Description" dataDxfId="1186"/>
    <tableColumn id="4" name="Label Name" dataDxfId="1185"/>
    <tableColumn id="5" name="Amount" dataDxfId="1184" dataCellStyle="20% - Accent6"/>
  </tableColumns>
  <tableStyleInfo name="TableStyleLight18" showFirstColumn="0" showLastColumn="0" showRowStripes="1" showColumnStripes="0"/>
</table>
</file>

<file path=xl/tables/table654.xml><?xml version="1.0" encoding="utf-8"?>
<table xmlns="http://schemas.openxmlformats.org/spreadsheetml/2006/main" id="654" name="Boarding_82" displayName="Boarding_82" ref="A87:D102" totalsRowShown="0" headerRowDxfId="1183" dataDxfId="1181" headerRowBorderDxfId="1182" tableBorderDxfId="1180" headerRowCellStyle="40% - Accent6">
  <autoFilter ref="A87:D102"/>
  <tableColumns count="4">
    <tableColumn id="1" name="Expense" dataDxfId="1179"/>
    <tableColumn id="2" name="Description" dataDxfId="1178"/>
    <tableColumn id="4" name="Label Name" dataDxfId="1177"/>
    <tableColumn id="5" name="Amount" dataDxfId="1176" dataCellStyle="40% - Accent6"/>
  </tableColumns>
  <tableStyleInfo name="TableStyleLight18" showFirstColumn="0" showLastColumn="0" showRowStripes="1" showColumnStripes="0"/>
</table>
</file>

<file path=xl/tables/table655.xml><?xml version="1.0" encoding="utf-8"?>
<table xmlns="http://schemas.openxmlformats.org/spreadsheetml/2006/main" id="655" name="Fence_82" displayName="Fence_82" ref="A106:D121" totalsRowShown="0" headerRowDxfId="1175" dataDxfId="1173" headerRowBorderDxfId="1174" tableBorderDxfId="1172" headerRowCellStyle="40% - Accent6">
  <autoFilter ref="A106:D121"/>
  <tableColumns count="4">
    <tableColumn id="1" name="Expense" dataDxfId="1171"/>
    <tableColumn id="2" name="Description" dataDxfId="1170"/>
    <tableColumn id="4" name="Label Name" dataDxfId="1169"/>
    <tableColumn id="5" name="Amount" dataDxfId="1168" dataCellStyle="40% - Accent6"/>
  </tableColumns>
  <tableStyleInfo name="TableStyleLight18" showFirstColumn="0" showLastColumn="0" showRowStripes="1" showColumnStripes="0"/>
</table>
</file>

<file path=xl/tables/table656.xml><?xml version="1.0" encoding="utf-8"?>
<table xmlns="http://schemas.openxmlformats.org/spreadsheetml/2006/main" id="656" name="Demolition_82" displayName="Demolition_82" ref="A125:D140" totalsRowShown="0" headerRowDxfId="1167" dataDxfId="1165" headerRowBorderDxfId="1166" tableBorderDxfId="1164" headerRowCellStyle="40% - Accent6">
  <autoFilter ref="A125:D140"/>
  <tableColumns count="4">
    <tableColumn id="1" name="Expense" dataDxfId="1163"/>
    <tableColumn id="2" name="Description" dataDxfId="1162"/>
    <tableColumn id="4" name="Label Name" dataDxfId="1161"/>
    <tableColumn id="5" name="Amount" dataDxfId="1160" dataCellStyle="40% - Accent6"/>
  </tableColumns>
  <tableStyleInfo name="TableStyleLight18" showFirstColumn="0" showLastColumn="0" showRowStripes="1" showColumnStripes="0"/>
</table>
</file>

<file path=xl/tables/table657.xml><?xml version="1.0" encoding="utf-8"?>
<table xmlns="http://schemas.openxmlformats.org/spreadsheetml/2006/main" id="657" name="Rehab_82" displayName="Rehab_82" ref="A144:D159" totalsRowShown="0" headerRowDxfId="1159" dataDxfId="1157" headerRowBorderDxfId="1158" tableBorderDxfId="1156" headerRowCellStyle="40% - Accent6">
  <autoFilter ref="A144:D159"/>
  <tableColumns count="4">
    <tableColumn id="1" name="Expense" dataDxfId="1155"/>
    <tableColumn id="2" name="Description" dataDxfId="1154"/>
    <tableColumn id="4" name="Label Name" dataDxfId="1153"/>
    <tableColumn id="5" name="Amount" dataDxfId="1152" dataCellStyle="40% - Accent6"/>
  </tableColumns>
  <tableStyleInfo name="TableStyleLight18" showFirstColumn="0" showLastColumn="0" showRowStripes="1" showColumnStripes="0"/>
</table>
</file>

<file path=xl/tables/table658.xml><?xml version="1.0" encoding="utf-8"?>
<table xmlns="http://schemas.openxmlformats.org/spreadsheetml/2006/main" id="658" name="Grass_83" displayName="Grass_83" ref="A11:D26" totalsRowShown="0" headerRowDxfId="1151" dataDxfId="1149" headerRowBorderDxfId="1150" tableBorderDxfId="1148" headerRowCellStyle="40% - Accent6">
  <autoFilter ref="A11:D26"/>
  <tableColumns count="4">
    <tableColumn id="1" name="Expense" dataDxfId="1147"/>
    <tableColumn id="2" name="Description" dataDxfId="1146"/>
    <tableColumn id="4" name="Label Name" dataDxfId="1145"/>
    <tableColumn id="5" name="Amount" dataDxfId="1144" dataCellStyle="20% - Accent6"/>
  </tableColumns>
  <tableStyleInfo name="TableStyleLight18" showFirstColumn="0" showLastColumn="0" showRowStripes="1" showColumnStripes="0"/>
</table>
</file>

<file path=xl/tables/table659.xml><?xml version="1.0" encoding="utf-8"?>
<table xmlns="http://schemas.openxmlformats.org/spreadsheetml/2006/main" id="659" name="Tree_83" displayName="Tree_83" ref="A30:D45" totalsRowShown="0" headerRowDxfId="1143" dataDxfId="1141" headerRowBorderDxfId="1142" tableBorderDxfId="1140" headerRowCellStyle="40% - Accent6">
  <autoFilter ref="A30:D45"/>
  <tableColumns count="4">
    <tableColumn id="1" name="Expense" dataDxfId="1139"/>
    <tableColumn id="2" name="Description" dataDxfId="1138"/>
    <tableColumn id="4" name="Label Name" dataDxfId="1137"/>
    <tableColumn id="5" name="Amount" dataDxfId="1136" dataCellStyle="40% - Accent6"/>
  </tableColumns>
  <tableStyleInfo name="TableStyleLight18" showFirstColumn="0" showLastColumn="0" showRowStripes="1" showColumnStripes="0"/>
</table>
</file>

<file path=xl/tables/table66.xml><?xml version="1.0" encoding="utf-8"?>
<table xmlns="http://schemas.openxmlformats.org/spreadsheetml/2006/main" id="131" name="Grass_9" displayName="Grass_9" ref="A11:D26" totalsRowShown="0" headerRowDxfId="5887" dataDxfId="5885" headerRowBorderDxfId="5886" tableBorderDxfId="5884" headerRowCellStyle="40% - Accent6">
  <autoFilter ref="A11:D26"/>
  <tableColumns count="4">
    <tableColumn id="1" name="Expense" dataDxfId="5883"/>
    <tableColumn id="2" name="Description" dataDxfId="5882"/>
    <tableColumn id="4" name="Label Name" dataDxfId="5881"/>
    <tableColumn id="5" name="Amount" dataDxfId="5880" dataCellStyle="20% - Accent6"/>
  </tableColumns>
  <tableStyleInfo name="TableStyleLight18" showFirstColumn="0" showLastColumn="0" showRowStripes="1" showColumnStripes="0"/>
</table>
</file>

<file path=xl/tables/table660.xml><?xml version="1.0" encoding="utf-8"?>
<table xmlns="http://schemas.openxmlformats.org/spreadsheetml/2006/main" id="660" name="Pest_83" displayName="Pest_83" ref="A49:D64" totalsRowShown="0" headerRowDxfId="1135" dataDxfId="1133" headerRowBorderDxfId="1134" tableBorderDxfId="1132" headerRowCellStyle="40% - Accent6">
  <autoFilter ref="A49:D64"/>
  <tableColumns count="4">
    <tableColumn id="1" name="Expense" dataDxfId="1131"/>
    <tableColumn id="2" name="Description" dataDxfId="1130"/>
    <tableColumn id="4" name="Label Name" dataDxfId="1129"/>
    <tableColumn id="5" name="Amount" dataDxfId="1128" dataCellStyle="40% - Accent6"/>
  </tableColumns>
  <tableStyleInfo name="TableStyleLight18" showFirstColumn="0" showLastColumn="0" showRowStripes="1" showColumnStripes="0"/>
</table>
</file>

<file path=xl/tables/table661.xml><?xml version="1.0" encoding="utf-8"?>
<table xmlns="http://schemas.openxmlformats.org/spreadsheetml/2006/main" id="661" name="Garbage_83" displayName="Garbage_83" ref="A68:D83" totalsRowShown="0" headerRowDxfId="1127" dataDxfId="1125" headerRowBorderDxfId="1126" tableBorderDxfId="1124" headerRowCellStyle="40% - Accent6">
  <autoFilter ref="A68:D83"/>
  <tableColumns count="4">
    <tableColumn id="1" name="Expense" dataDxfId="1123"/>
    <tableColumn id="2" name="Description" dataDxfId="1122"/>
    <tableColumn id="4" name="Label Name" dataDxfId="1121"/>
    <tableColumn id="5" name="Amount" dataDxfId="1120" dataCellStyle="20% - Accent6"/>
  </tableColumns>
  <tableStyleInfo name="TableStyleLight18" showFirstColumn="0" showLastColumn="0" showRowStripes="1" showColumnStripes="0"/>
</table>
</file>

<file path=xl/tables/table662.xml><?xml version="1.0" encoding="utf-8"?>
<table xmlns="http://schemas.openxmlformats.org/spreadsheetml/2006/main" id="662" name="Boarding_83" displayName="Boarding_83" ref="A87:D102" totalsRowShown="0" headerRowDxfId="1119" dataDxfId="1117" headerRowBorderDxfId="1118" tableBorderDxfId="1116" headerRowCellStyle="40% - Accent6">
  <autoFilter ref="A87:D102"/>
  <tableColumns count="4">
    <tableColumn id="1" name="Expense" dataDxfId="1115"/>
    <tableColumn id="2" name="Description" dataDxfId="1114"/>
    <tableColumn id="4" name="Label Name" dataDxfId="1113"/>
    <tableColumn id="5" name="Amount" dataDxfId="1112" dataCellStyle="40% - Accent6"/>
  </tableColumns>
  <tableStyleInfo name="TableStyleLight18" showFirstColumn="0" showLastColumn="0" showRowStripes="1" showColumnStripes="0"/>
</table>
</file>

<file path=xl/tables/table663.xml><?xml version="1.0" encoding="utf-8"?>
<table xmlns="http://schemas.openxmlformats.org/spreadsheetml/2006/main" id="663" name="Fence_83" displayName="Fence_83" ref="A106:D121" totalsRowShown="0" headerRowDxfId="1111" dataDxfId="1109" headerRowBorderDxfId="1110" tableBorderDxfId="1108" headerRowCellStyle="40% - Accent6">
  <autoFilter ref="A106:D121"/>
  <tableColumns count="4">
    <tableColumn id="1" name="Expense" dataDxfId="1107"/>
    <tableColumn id="2" name="Description" dataDxfId="1106"/>
    <tableColumn id="4" name="Label Name" dataDxfId="1105"/>
    <tableColumn id="5" name="Amount" dataDxfId="1104" dataCellStyle="40% - Accent6"/>
  </tableColumns>
  <tableStyleInfo name="TableStyleLight18" showFirstColumn="0" showLastColumn="0" showRowStripes="1" showColumnStripes="0"/>
</table>
</file>

<file path=xl/tables/table664.xml><?xml version="1.0" encoding="utf-8"?>
<table xmlns="http://schemas.openxmlformats.org/spreadsheetml/2006/main" id="664" name="Demolition_83" displayName="Demolition_83" ref="A125:D140" totalsRowShown="0" headerRowDxfId="1103" dataDxfId="1101" headerRowBorderDxfId="1102" tableBorderDxfId="1100" headerRowCellStyle="40% - Accent6">
  <autoFilter ref="A125:D140"/>
  <tableColumns count="4">
    <tableColumn id="1" name="Expense" dataDxfId="1099"/>
    <tableColumn id="2" name="Description" dataDxfId="1098"/>
    <tableColumn id="4" name="Label Name" dataDxfId="1097"/>
    <tableColumn id="5" name="Amount" dataDxfId="1096" dataCellStyle="40% - Accent6"/>
  </tableColumns>
  <tableStyleInfo name="TableStyleLight18" showFirstColumn="0" showLastColumn="0" showRowStripes="1" showColumnStripes="0"/>
</table>
</file>

<file path=xl/tables/table665.xml><?xml version="1.0" encoding="utf-8"?>
<table xmlns="http://schemas.openxmlformats.org/spreadsheetml/2006/main" id="665" name="Rehab_83" displayName="Rehab_83" ref="A144:D159" totalsRowShown="0" headerRowDxfId="1095" dataDxfId="1093" headerRowBorderDxfId="1094" tableBorderDxfId="1092" headerRowCellStyle="40% - Accent6">
  <autoFilter ref="A144:D159"/>
  <tableColumns count="4">
    <tableColumn id="1" name="Expense" dataDxfId="1091"/>
    <tableColumn id="2" name="Description" dataDxfId="1090"/>
    <tableColumn id="4" name="Label Name" dataDxfId="1089"/>
    <tableColumn id="5" name="Amount" dataDxfId="1088" dataCellStyle="40% - Accent6"/>
  </tableColumns>
  <tableStyleInfo name="TableStyleLight18" showFirstColumn="0" showLastColumn="0" showRowStripes="1" showColumnStripes="0"/>
</table>
</file>

<file path=xl/tables/table666.xml><?xml version="1.0" encoding="utf-8"?>
<table xmlns="http://schemas.openxmlformats.org/spreadsheetml/2006/main" id="666" name="Grass_84" displayName="Grass_84" ref="A11:D26" totalsRowShown="0" headerRowDxfId="1087" dataDxfId="1085" headerRowBorderDxfId="1086" tableBorderDxfId="1084" headerRowCellStyle="40% - Accent6">
  <autoFilter ref="A11:D26"/>
  <tableColumns count="4">
    <tableColumn id="1" name="Expense" dataDxfId="1083"/>
    <tableColumn id="2" name="Description" dataDxfId="1082"/>
    <tableColumn id="4" name="Label Name" dataDxfId="1081"/>
    <tableColumn id="5" name="Amount" dataDxfId="1080" dataCellStyle="20% - Accent6"/>
  </tableColumns>
  <tableStyleInfo name="TableStyleLight18" showFirstColumn="0" showLastColumn="0" showRowStripes="1" showColumnStripes="0"/>
</table>
</file>

<file path=xl/tables/table667.xml><?xml version="1.0" encoding="utf-8"?>
<table xmlns="http://schemas.openxmlformats.org/spreadsheetml/2006/main" id="667" name="Tree_84" displayName="Tree_84" ref="A30:D45" totalsRowShown="0" headerRowDxfId="1079" dataDxfId="1077" headerRowBorderDxfId="1078" tableBorderDxfId="1076" headerRowCellStyle="40% - Accent6">
  <autoFilter ref="A30:D45"/>
  <tableColumns count="4">
    <tableColumn id="1" name="Expense" dataDxfId="1075"/>
    <tableColumn id="2" name="Description" dataDxfId="1074"/>
    <tableColumn id="4" name="Label Name" dataDxfId="1073"/>
    <tableColumn id="5" name="Amount" dataDxfId="1072" dataCellStyle="40% - Accent6"/>
  </tableColumns>
  <tableStyleInfo name="TableStyleLight18" showFirstColumn="0" showLastColumn="0" showRowStripes="1" showColumnStripes="0"/>
</table>
</file>

<file path=xl/tables/table668.xml><?xml version="1.0" encoding="utf-8"?>
<table xmlns="http://schemas.openxmlformats.org/spreadsheetml/2006/main" id="668" name="Pest_84" displayName="Pest_84" ref="A49:D64" totalsRowShown="0" headerRowDxfId="1071" dataDxfId="1069" headerRowBorderDxfId="1070" tableBorderDxfId="1068" headerRowCellStyle="40% - Accent6">
  <autoFilter ref="A49:D64"/>
  <tableColumns count="4">
    <tableColumn id="1" name="Expense" dataDxfId="1067"/>
    <tableColumn id="2" name="Description" dataDxfId="1066"/>
    <tableColumn id="4" name="Label Name" dataDxfId="1065"/>
    <tableColumn id="5" name="Amount" dataDxfId="1064" dataCellStyle="40% - Accent6"/>
  </tableColumns>
  <tableStyleInfo name="TableStyleLight18" showFirstColumn="0" showLastColumn="0" showRowStripes="1" showColumnStripes="0"/>
</table>
</file>

<file path=xl/tables/table669.xml><?xml version="1.0" encoding="utf-8"?>
<table xmlns="http://schemas.openxmlformats.org/spreadsheetml/2006/main" id="669" name="Garbage_84" displayName="Garbage_84" ref="A68:D83" totalsRowShown="0" headerRowDxfId="1063" dataDxfId="1061" headerRowBorderDxfId="1062" tableBorderDxfId="1060" headerRowCellStyle="40% - Accent6">
  <autoFilter ref="A68:D83"/>
  <tableColumns count="4">
    <tableColumn id="1" name="Expense" dataDxfId="1059"/>
    <tableColumn id="2" name="Description" dataDxfId="1058"/>
    <tableColumn id="4" name="Label Name" dataDxfId="1057"/>
    <tableColumn id="5" name="Amount" dataDxfId="1056" dataCellStyle="20% - Accent6"/>
  </tableColumns>
  <tableStyleInfo name="TableStyleLight18" showFirstColumn="0" showLastColumn="0" showRowStripes="1" showColumnStripes="0"/>
</table>
</file>

<file path=xl/tables/table67.xml><?xml version="1.0" encoding="utf-8"?>
<table xmlns="http://schemas.openxmlformats.org/spreadsheetml/2006/main" id="132" name="Tree_9" displayName="Tree_9" ref="A30:D45" totalsRowShown="0" headerRowDxfId="5879" dataDxfId="5877" headerRowBorderDxfId="5878" tableBorderDxfId="5876" headerRowCellStyle="40% - Accent6">
  <autoFilter ref="A30:D45"/>
  <tableColumns count="4">
    <tableColumn id="1" name="Expense" dataDxfId="5875"/>
    <tableColumn id="2" name="Description" dataDxfId="5874"/>
    <tableColumn id="4" name="Label Name" dataDxfId="5873"/>
    <tableColumn id="5" name="Amount" dataDxfId="5872" dataCellStyle="40% - Accent6"/>
  </tableColumns>
  <tableStyleInfo name="TableStyleLight18" showFirstColumn="0" showLastColumn="0" showRowStripes="1" showColumnStripes="0"/>
</table>
</file>

<file path=xl/tables/table670.xml><?xml version="1.0" encoding="utf-8"?>
<table xmlns="http://schemas.openxmlformats.org/spreadsheetml/2006/main" id="670" name="Boarding_84" displayName="Boarding_84" ref="A87:D102" totalsRowShown="0" headerRowDxfId="1055" dataDxfId="1053" headerRowBorderDxfId="1054" tableBorderDxfId="1052" headerRowCellStyle="40% - Accent6">
  <autoFilter ref="A87:D102"/>
  <tableColumns count="4">
    <tableColumn id="1" name="Expense" dataDxfId="1051"/>
    <tableColumn id="2" name="Description" dataDxfId="1050"/>
    <tableColumn id="4" name="Label Name" dataDxfId="1049"/>
    <tableColumn id="5" name="Amount" dataDxfId="1048" dataCellStyle="40% - Accent6"/>
  </tableColumns>
  <tableStyleInfo name="TableStyleLight18" showFirstColumn="0" showLastColumn="0" showRowStripes="1" showColumnStripes="0"/>
</table>
</file>

<file path=xl/tables/table671.xml><?xml version="1.0" encoding="utf-8"?>
<table xmlns="http://schemas.openxmlformats.org/spreadsheetml/2006/main" id="671" name="Fence_84" displayName="Fence_84" ref="A106:D121" totalsRowShown="0" headerRowDxfId="1047" dataDxfId="1045" headerRowBorderDxfId="1046" tableBorderDxfId="1044" headerRowCellStyle="40% - Accent6">
  <autoFilter ref="A106:D121"/>
  <tableColumns count="4">
    <tableColumn id="1" name="Expense" dataDxfId="1043"/>
    <tableColumn id="2" name="Description" dataDxfId="1042"/>
    <tableColumn id="4" name="Label Name" dataDxfId="1041"/>
    <tableColumn id="5" name="Amount" dataDxfId="1040" dataCellStyle="40% - Accent6"/>
  </tableColumns>
  <tableStyleInfo name="TableStyleLight18" showFirstColumn="0" showLastColumn="0" showRowStripes="1" showColumnStripes="0"/>
</table>
</file>

<file path=xl/tables/table672.xml><?xml version="1.0" encoding="utf-8"?>
<table xmlns="http://schemas.openxmlformats.org/spreadsheetml/2006/main" id="672" name="Demolition_84" displayName="Demolition_84" ref="A125:D140" totalsRowShown="0" headerRowDxfId="1039" dataDxfId="1037" headerRowBorderDxfId="1038" tableBorderDxfId="1036" headerRowCellStyle="40% - Accent6">
  <autoFilter ref="A125:D140"/>
  <tableColumns count="4">
    <tableColumn id="1" name="Expense" dataDxfId="1035"/>
    <tableColumn id="2" name="Description" dataDxfId="1034"/>
    <tableColumn id="4" name="Label Name" dataDxfId="1033"/>
    <tableColumn id="5" name="Amount" dataDxfId="1032" dataCellStyle="40% - Accent6"/>
  </tableColumns>
  <tableStyleInfo name="TableStyleLight18" showFirstColumn="0" showLastColumn="0" showRowStripes="1" showColumnStripes="0"/>
</table>
</file>

<file path=xl/tables/table673.xml><?xml version="1.0" encoding="utf-8"?>
<table xmlns="http://schemas.openxmlformats.org/spreadsheetml/2006/main" id="673" name="Rehab_84" displayName="Rehab_84" ref="A144:D159" totalsRowShown="0" headerRowDxfId="1031" dataDxfId="1029" headerRowBorderDxfId="1030" tableBorderDxfId="1028" headerRowCellStyle="40% - Accent6">
  <autoFilter ref="A144:D159"/>
  <tableColumns count="4">
    <tableColumn id="1" name="Expense" dataDxfId="1027"/>
    <tableColumn id="2" name="Description" dataDxfId="1026"/>
    <tableColumn id="4" name="Label Name" dataDxfId="1025"/>
    <tableColumn id="5" name="Amount" dataDxfId="1024" dataCellStyle="40% - Accent6"/>
  </tableColumns>
  <tableStyleInfo name="TableStyleLight18" showFirstColumn="0" showLastColumn="0" showRowStripes="1" showColumnStripes="0"/>
</table>
</file>

<file path=xl/tables/table674.xml><?xml version="1.0" encoding="utf-8"?>
<table xmlns="http://schemas.openxmlformats.org/spreadsheetml/2006/main" id="674" name="Grass_85" displayName="Grass_85" ref="A11:D26" totalsRowShown="0" headerRowDxfId="1023" dataDxfId="1021" headerRowBorderDxfId="1022" tableBorderDxfId="1020" headerRowCellStyle="40% - Accent6">
  <autoFilter ref="A11:D26"/>
  <tableColumns count="4">
    <tableColumn id="1" name="Expense" dataDxfId="1019"/>
    <tableColumn id="2" name="Description" dataDxfId="1018"/>
    <tableColumn id="4" name="Label Name" dataDxfId="1017"/>
    <tableColumn id="5" name="Amount" dataDxfId="1016" dataCellStyle="20% - Accent6"/>
  </tableColumns>
  <tableStyleInfo name="TableStyleLight18" showFirstColumn="0" showLastColumn="0" showRowStripes="1" showColumnStripes="0"/>
</table>
</file>

<file path=xl/tables/table675.xml><?xml version="1.0" encoding="utf-8"?>
<table xmlns="http://schemas.openxmlformats.org/spreadsheetml/2006/main" id="675" name="Tree_85" displayName="Tree_85" ref="A30:D45" totalsRowShown="0" headerRowDxfId="1015" dataDxfId="1013" headerRowBorderDxfId="1014" tableBorderDxfId="1012" headerRowCellStyle="40% - Accent6">
  <autoFilter ref="A30:D45"/>
  <tableColumns count="4">
    <tableColumn id="1" name="Expense" dataDxfId="1011"/>
    <tableColumn id="2" name="Description" dataDxfId="1010"/>
    <tableColumn id="4" name="Label Name" dataDxfId="1009"/>
    <tableColumn id="5" name="Amount" dataDxfId="1008" dataCellStyle="40% - Accent6"/>
  </tableColumns>
  <tableStyleInfo name="TableStyleLight18" showFirstColumn="0" showLastColumn="0" showRowStripes="1" showColumnStripes="0"/>
</table>
</file>

<file path=xl/tables/table676.xml><?xml version="1.0" encoding="utf-8"?>
<table xmlns="http://schemas.openxmlformats.org/spreadsheetml/2006/main" id="676" name="Pest_85" displayName="Pest_85" ref="A49:D64" totalsRowShown="0" headerRowDxfId="1007" dataDxfId="1005" headerRowBorderDxfId="1006" tableBorderDxfId="1004" headerRowCellStyle="40% - Accent6">
  <autoFilter ref="A49:D64"/>
  <tableColumns count="4">
    <tableColumn id="1" name="Expense" dataDxfId="1003"/>
    <tableColumn id="2" name="Description" dataDxfId="1002"/>
    <tableColumn id="4" name="Label Name" dataDxfId="1001"/>
    <tableColumn id="5" name="Amount" dataDxfId="1000" dataCellStyle="40% - Accent6"/>
  </tableColumns>
  <tableStyleInfo name="TableStyleLight18" showFirstColumn="0" showLastColumn="0" showRowStripes="1" showColumnStripes="0"/>
</table>
</file>

<file path=xl/tables/table677.xml><?xml version="1.0" encoding="utf-8"?>
<table xmlns="http://schemas.openxmlformats.org/spreadsheetml/2006/main" id="677" name="Garbage_85" displayName="Garbage_85" ref="A68:D83" totalsRowShown="0" headerRowDxfId="999" dataDxfId="997" headerRowBorderDxfId="998" tableBorderDxfId="996" headerRowCellStyle="40% - Accent6">
  <autoFilter ref="A68:D83"/>
  <tableColumns count="4">
    <tableColumn id="1" name="Expense" dataDxfId="995"/>
    <tableColumn id="2" name="Description" dataDxfId="994"/>
    <tableColumn id="4" name="Label Name" dataDxfId="993"/>
    <tableColumn id="5" name="Amount" dataDxfId="992" dataCellStyle="20% - Accent6"/>
  </tableColumns>
  <tableStyleInfo name="TableStyleLight18" showFirstColumn="0" showLastColumn="0" showRowStripes="1" showColumnStripes="0"/>
</table>
</file>

<file path=xl/tables/table678.xml><?xml version="1.0" encoding="utf-8"?>
<table xmlns="http://schemas.openxmlformats.org/spreadsheetml/2006/main" id="678" name="Boarding_85" displayName="Boarding_85" ref="A87:D102" totalsRowShown="0" headerRowDxfId="991" dataDxfId="989" headerRowBorderDxfId="990" tableBorderDxfId="988" headerRowCellStyle="40% - Accent6">
  <autoFilter ref="A87:D102"/>
  <tableColumns count="4">
    <tableColumn id="1" name="Expense" dataDxfId="987"/>
    <tableColumn id="2" name="Description" dataDxfId="986"/>
    <tableColumn id="4" name="Label Name" dataDxfId="985"/>
    <tableColumn id="5" name="Amount" dataDxfId="984" dataCellStyle="40% - Accent6"/>
  </tableColumns>
  <tableStyleInfo name="TableStyleLight18" showFirstColumn="0" showLastColumn="0" showRowStripes="1" showColumnStripes="0"/>
</table>
</file>

<file path=xl/tables/table679.xml><?xml version="1.0" encoding="utf-8"?>
<table xmlns="http://schemas.openxmlformats.org/spreadsheetml/2006/main" id="679" name="Fence_85" displayName="Fence_85" ref="A106:D121" totalsRowShown="0" headerRowDxfId="983" dataDxfId="981" headerRowBorderDxfId="982" tableBorderDxfId="980" headerRowCellStyle="40% - Accent6">
  <autoFilter ref="A106:D121"/>
  <tableColumns count="4">
    <tableColumn id="1" name="Expense" dataDxfId="979"/>
    <tableColumn id="2" name="Description" dataDxfId="978"/>
    <tableColumn id="4" name="Label Name" dataDxfId="977"/>
    <tableColumn id="5" name="Amount" dataDxfId="976" dataCellStyle="40% - Accent6"/>
  </tableColumns>
  <tableStyleInfo name="TableStyleLight18" showFirstColumn="0" showLastColumn="0" showRowStripes="1" showColumnStripes="0"/>
</table>
</file>

<file path=xl/tables/table68.xml><?xml version="1.0" encoding="utf-8"?>
<table xmlns="http://schemas.openxmlformats.org/spreadsheetml/2006/main" id="133" name="Pest_9" displayName="Pest_9" ref="A49:D64" totalsRowShown="0" headerRowDxfId="5871" dataDxfId="5869" headerRowBorderDxfId="5870" tableBorderDxfId="5868" headerRowCellStyle="40% - Accent6">
  <autoFilter ref="A49:D64"/>
  <tableColumns count="4">
    <tableColumn id="1" name="Expense" dataDxfId="5867"/>
    <tableColumn id="2" name="Description" dataDxfId="5866"/>
    <tableColumn id="4" name="Label Name" dataDxfId="5865"/>
    <tableColumn id="5" name="Amount" dataDxfId="5864" dataCellStyle="40% - Accent6"/>
  </tableColumns>
  <tableStyleInfo name="TableStyleLight18" showFirstColumn="0" showLastColumn="0" showRowStripes="1" showColumnStripes="0"/>
</table>
</file>

<file path=xl/tables/table680.xml><?xml version="1.0" encoding="utf-8"?>
<table xmlns="http://schemas.openxmlformats.org/spreadsheetml/2006/main" id="680" name="Demolition_85" displayName="Demolition_85" ref="A125:D140" totalsRowShown="0" headerRowDxfId="975" dataDxfId="973" headerRowBorderDxfId="974" tableBorderDxfId="972" headerRowCellStyle="40% - Accent6">
  <autoFilter ref="A125:D140"/>
  <tableColumns count="4">
    <tableColumn id="1" name="Expense" dataDxfId="971"/>
    <tableColumn id="2" name="Description" dataDxfId="970"/>
    <tableColumn id="4" name="Label Name" dataDxfId="969"/>
    <tableColumn id="5" name="Amount" dataDxfId="968" dataCellStyle="40% - Accent6"/>
  </tableColumns>
  <tableStyleInfo name="TableStyleLight18" showFirstColumn="0" showLastColumn="0" showRowStripes="1" showColumnStripes="0"/>
</table>
</file>

<file path=xl/tables/table681.xml><?xml version="1.0" encoding="utf-8"?>
<table xmlns="http://schemas.openxmlformats.org/spreadsheetml/2006/main" id="681" name="Rehab_85" displayName="Rehab_85" ref="A144:D159" totalsRowShown="0" headerRowDxfId="967" dataDxfId="965" headerRowBorderDxfId="966" tableBorderDxfId="964" headerRowCellStyle="40% - Accent6">
  <autoFilter ref="A144:D159"/>
  <tableColumns count="4">
    <tableColumn id="1" name="Expense" dataDxfId="963"/>
    <tableColumn id="2" name="Description" dataDxfId="962"/>
    <tableColumn id="4" name="Label Name" dataDxfId="961"/>
    <tableColumn id="5" name="Amount" dataDxfId="960" dataCellStyle="40% - Accent6"/>
  </tableColumns>
  <tableStyleInfo name="TableStyleLight18" showFirstColumn="0" showLastColumn="0" showRowStripes="1" showColumnStripes="0"/>
</table>
</file>

<file path=xl/tables/table682.xml><?xml version="1.0" encoding="utf-8"?>
<table xmlns="http://schemas.openxmlformats.org/spreadsheetml/2006/main" id="682" name="Grass_86" displayName="Grass_86" ref="A11:D26" totalsRowShown="0" headerRowDxfId="959" dataDxfId="957" headerRowBorderDxfId="958" tableBorderDxfId="956" headerRowCellStyle="40% - Accent6">
  <autoFilter ref="A11:D26"/>
  <tableColumns count="4">
    <tableColumn id="1" name="Expense" dataDxfId="955"/>
    <tableColumn id="2" name="Description" dataDxfId="954"/>
    <tableColumn id="4" name="Label Name" dataDxfId="953"/>
    <tableColumn id="5" name="Amount" dataDxfId="952" dataCellStyle="20% - Accent6"/>
  </tableColumns>
  <tableStyleInfo name="TableStyleLight18" showFirstColumn="0" showLastColumn="0" showRowStripes="1" showColumnStripes="0"/>
</table>
</file>

<file path=xl/tables/table683.xml><?xml version="1.0" encoding="utf-8"?>
<table xmlns="http://schemas.openxmlformats.org/spreadsheetml/2006/main" id="683" name="Tree_86" displayName="Tree_86" ref="A30:D45" totalsRowShown="0" headerRowDxfId="951" dataDxfId="949" headerRowBorderDxfId="950" tableBorderDxfId="948" headerRowCellStyle="40% - Accent6">
  <autoFilter ref="A30:D45"/>
  <tableColumns count="4">
    <tableColumn id="1" name="Expense" dataDxfId="947"/>
    <tableColumn id="2" name="Description" dataDxfId="946"/>
    <tableColumn id="4" name="Label Name" dataDxfId="945"/>
    <tableColumn id="5" name="Amount" dataDxfId="944" dataCellStyle="40% - Accent6"/>
  </tableColumns>
  <tableStyleInfo name="TableStyleLight18" showFirstColumn="0" showLastColumn="0" showRowStripes="1" showColumnStripes="0"/>
</table>
</file>

<file path=xl/tables/table684.xml><?xml version="1.0" encoding="utf-8"?>
<table xmlns="http://schemas.openxmlformats.org/spreadsheetml/2006/main" id="684" name="Pest_86" displayName="Pest_86" ref="A49:D64" totalsRowShown="0" headerRowDxfId="943" dataDxfId="941" headerRowBorderDxfId="942" tableBorderDxfId="940" headerRowCellStyle="40% - Accent6">
  <autoFilter ref="A49:D64"/>
  <tableColumns count="4">
    <tableColumn id="1" name="Expense" dataDxfId="939"/>
    <tableColumn id="2" name="Description" dataDxfId="938"/>
    <tableColumn id="4" name="Label Name" dataDxfId="937"/>
    <tableColumn id="5" name="Amount" dataDxfId="936" dataCellStyle="40% - Accent6"/>
  </tableColumns>
  <tableStyleInfo name="TableStyleLight18" showFirstColumn="0" showLastColumn="0" showRowStripes="1" showColumnStripes="0"/>
</table>
</file>

<file path=xl/tables/table685.xml><?xml version="1.0" encoding="utf-8"?>
<table xmlns="http://schemas.openxmlformats.org/spreadsheetml/2006/main" id="685" name="Garbage_86" displayName="Garbage_86" ref="A68:D83" totalsRowShown="0" headerRowDxfId="935" dataDxfId="933" headerRowBorderDxfId="934" tableBorderDxfId="932" headerRowCellStyle="40% - Accent6">
  <autoFilter ref="A68:D83"/>
  <tableColumns count="4">
    <tableColumn id="1" name="Expense" dataDxfId="931"/>
    <tableColumn id="2" name="Description" dataDxfId="930"/>
    <tableColumn id="4" name="Label Name" dataDxfId="929"/>
    <tableColumn id="5" name="Amount" dataDxfId="928" dataCellStyle="20% - Accent6"/>
  </tableColumns>
  <tableStyleInfo name="TableStyleLight18" showFirstColumn="0" showLastColumn="0" showRowStripes="1" showColumnStripes="0"/>
</table>
</file>

<file path=xl/tables/table686.xml><?xml version="1.0" encoding="utf-8"?>
<table xmlns="http://schemas.openxmlformats.org/spreadsheetml/2006/main" id="686" name="Boarding_86" displayName="Boarding_86" ref="A87:D102" totalsRowShown="0" headerRowDxfId="927" dataDxfId="925" headerRowBorderDxfId="926" tableBorderDxfId="924" headerRowCellStyle="40% - Accent6">
  <autoFilter ref="A87:D102"/>
  <tableColumns count="4">
    <tableColumn id="1" name="Expense" dataDxfId="923"/>
    <tableColumn id="2" name="Description" dataDxfId="922"/>
    <tableColumn id="4" name="Label Name" dataDxfId="921"/>
    <tableColumn id="5" name="Amount" dataDxfId="920" dataCellStyle="40% - Accent6"/>
  </tableColumns>
  <tableStyleInfo name="TableStyleLight18" showFirstColumn="0" showLastColumn="0" showRowStripes="1" showColumnStripes="0"/>
</table>
</file>

<file path=xl/tables/table687.xml><?xml version="1.0" encoding="utf-8"?>
<table xmlns="http://schemas.openxmlformats.org/spreadsheetml/2006/main" id="687" name="Fence_86" displayName="Fence_86" ref="A106:D121" totalsRowShown="0" headerRowDxfId="919" dataDxfId="917" headerRowBorderDxfId="918" tableBorderDxfId="916" headerRowCellStyle="40% - Accent6">
  <autoFilter ref="A106:D121"/>
  <tableColumns count="4">
    <tableColumn id="1" name="Expense" dataDxfId="915"/>
    <tableColumn id="2" name="Description" dataDxfId="914"/>
    <tableColumn id="4" name="Label Name" dataDxfId="913"/>
    <tableColumn id="5" name="Amount" dataDxfId="912" dataCellStyle="40% - Accent6"/>
  </tableColumns>
  <tableStyleInfo name="TableStyleLight18" showFirstColumn="0" showLastColumn="0" showRowStripes="1" showColumnStripes="0"/>
</table>
</file>

<file path=xl/tables/table688.xml><?xml version="1.0" encoding="utf-8"?>
<table xmlns="http://schemas.openxmlformats.org/spreadsheetml/2006/main" id="688" name="Demolition_86" displayName="Demolition_86" ref="A125:D140" totalsRowShown="0" headerRowDxfId="911" dataDxfId="909" headerRowBorderDxfId="910" tableBorderDxfId="908" headerRowCellStyle="40% - Accent6">
  <autoFilter ref="A125:D140"/>
  <tableColumns count="4">
    <tableColumn id="1" name="Expense" dataDxfId="907"/>
    <tableColumn id="2" name="Description" dataDxfId="906"/>
    <tableColumn id="4" name="Label Name" dataDxfId="905"/>
    <tableColumn id="5" name="Amount" dataDxfId="904" dataCellStyle="40% - Accent6"/>
  </tableColumns>
  <tableStyleInfo name="TableStyleLight18" showFirstColumn="0" showLastColumn="0" showRowStripes="1" showColumnStripes="0"/>
</table>
</file>

<file path=xl/tables/table689.xml><?xml version="1.0" encoding="utf-8"?>
<table xmlns="http://schemas.openxmlformats.org/spreadsheetml/2006/main" id="689" name="Rehab_86" displayName="Rehab_86" ref="A144:D159" totalsRowShown="0" headerRowDxfId="903" dataDxfId="901" headerRowBorderDxfId="902" tableBorderDxfId="900" headerRowCellStyle="40% - Accent6">
  <autoFilter ref="A144:D159"/>
  <tableColumns count="4">
    <tableColumn id="1" name="Expense" dataDxfId="899"/>
    <tableColumn id="2" name="Description" dataDxfId="898"/>
    <tableColumn id="4" name="Label Name" dataDxfId="897"/>
    <tableColumn id="5" name="Amount" dataDxfId="896" dataCellStyle="40% - Accent6"/>
  </tableColumns>
  <tableStyleInfo name="TableStyleLight18" showFirstColumn="0" showLastColumn="0" showRowStripes="1" showColumnStripes="0"/>
</table>
</file>

<file path=xl/tables/table69.xml><?xml version="1.0" encoding="utf-8"?>
<table xmlns="http://schemas.openxmlformats.org/spreadsheetml/2006/main" id="134" name="Garbage_9" displayName="Garbage_9" ref="A68:D83" totalsRowShown="0" headerRowDxfId="5863" dataDxfId="5861" headerRowBorderDxfId="5862" tableBorderDxfId="5860" headerRowCellStyle="40% - Accent6">
  <autoFilter ref="A68:D83"/>
  <tableColumns count="4">
    <tableColumn id="1" name="Expense" dataDxfId="5859"/>
    <tableColumn id="2" name="Description" dataDxfId="5858"/>
    <tableColumn id="4" name="Label Name" dataDxfId="5857"/>
    <tableColumn id="5" name="Amount" dataDxfId="5856" dataCellStyle="20% - Accent6"/>
  </tableColumns>
  <tableStyleInfo name="TableStyleLight18" showFirstColumn="0" showLastColumn="0" showRowStripes="1" showColumnStripes="0"/>
</table>
</file>

<file path=xl/tables/table690.xml><?xml version="1.0" encoding="utf-8"?>
<table xmlns="http://schemas.openxmlformats.org/spreadsheetml/2006/main" id="690" name="Grass_87" displayName="Grass_87" ref="A11:D26" totalsRowShown="0" headerRowDxfId="895" dataDxfId="893" headerRowBorderDxfId="894" tableBorderDxfId="892" headerRowCellStyle="40% - Accent6">
  <autoFilter ref="A11:D26"/>
  <tableColumns count="4">
    <tableColumn id="1" name="Expense" dataDxfId="891"/>
    <tableColumn id="2" name="Description" dataDxfId="890"/>
    <tableColumn id="4" name="Label Name" dataDxfId="889"/>
    <tableColumn id="5" name="Amount" dataDxfId="888" dataCellStyle="20% - Accent6"/>
  </tableColumns>
  <tableStyleInfo name="TableStyleLight18" showFirstColumn="0" showLastColumn="0" showRowStripes="1" showColumnStripes="0"/>
</table>
</file>

<file path=xl/tables/table691.xml><?xml version="1.0" encoding="utf-8"?>
<table xmlns="http://schemas.openxmlformats.org/spreadsheetml/2006/main" id="691" name="Tree_87" displayName="Tree_87" ref="A30:D45" totalsRowShown="0" headerRowDxfId="887" dataDxfId="885" headerRowBorderDxfId="886" tableBorderDxfId="884" headerRowCellStyle="40% - Accent6">
  <autoFilter ref="A30:D45"/>
  <tableColumns count="4">
    <tableColumn id="1" name="Expense" dataDxfId="883"/>
    <tableColumn id="2" name="Description" dataDxfId="882"/>
    <tableColumn id="4" name="Label Name" dataDxfId="881"/>
    <tableColumn id="5" name="Amount" dataDxfId="880" dataCellStyle="40% - Accent6"/>
  </tableColumns>
  <tableStyleInfo name="TableStyleLight18" showFirstColumn="0" showLastColumn="0" showRowStripes="1" showColumnStripes="0"/>
</table>
</file>

<file path=xl/tables/table692.xml><?xml version="1.0" encoding="utf-8"?>
<table xmlns="http://schemas.openxmlformats.org/spreadsheetml/2006/main" id="692" name="Pest_87" displayName="Pest_87" ref="A49:D64" totalsRowShown="0" headerRowDxfId="879" dataDxfId="877" headerRowBorderDxfId="878" tableBorderDxfId="876" headerRowCellStyle="40% - Accent6">
  <autoFilter ref="A49:D64"/>
  <tableColumns count="4">
    <tableColumn id="1" name="Expense" dataDxfId="875"/>
    <tableColumn id="2" name="Description" dataDxfId="874"/>
    <tableColumn id="4" name="Label Name" dataDxfId="873"/>
    <tableColumn id="5" name="Amount" dataDxfId="872" dataCellStyle="40% - Accent6"/>
  </tableColumns>
  <tableStyleInfo name="TableStyleLight18" showFirstColumn="0" showLastColumn="0" showRowStripes="1" showColumnStripes="0"/>
</table>
</file>

<file path=xl/tables/table693.xml><?xml version="1.0" encoding="utf-8"?>
<table xmlns="http://schemas.openxmlformats.org/spreadsheetml/2006/main" id="693" name="Garbage_87" displayName="Garbage_87" ref="A68:D83" totalsRowShown="0" headerRowDxfId="871" dataDxfId="869" headerRowBorderDxfId="870" tableBorderDxfId="868" headerRowCellStyle="40% - Accent6">
  <autoFilter ref="A68:D83"/>
  <tableColumns count="4">
    <tableColumn id="1" name="Expense" dataDxfId="867"/>
    <tableColumn id="2" name="Description" dataDxfId="866"/>
    <tableColumn id="4" name="Label Name" dataDxfId="865"/>
    <tableColumn id="5" name="Amount" dataDxfId="864" dataCellStyle="20% - Accent6"/>
  </tableColumns>
  <tableStyleInfo name="TableStyleLight18" showFirstColumn="0" showLastColumn="0" showRowStripes="1" showColumnStripes="0"/>
</table>
</file>

<file path=xl/tables/table694.xml><?xml version="1.0" encoding="utf-8"?>
<table xmlns="http://schemas.openxmlformats.org/spreadsheetml/2006/main" id="694" name="Boarding_87" displayName="Boarding_87" ref="A87:D102" totalsRowShown="0" headerRowDxfId="863" dataDxfId="861" headerRowBorderDxfId="862" tableBorderDxfId="860" headerRowCellStyle="40% - Accent6">
  <autoFilter ref="A87:D102"/>
  <tableColumns count="4">
    <tableColumn id="1" name="Expense" dataDxfId="859"/>
    <tableColumn id="2" name="Description" dataDxfId="858"/>
    <tableColumn id="4" name="Label Name" dataDxfId="857"/>
    <tableColumn id="5" name="Amount" dataDxfId="856" dataCellStyle="40% - Accent6"/>
  </tableColumns>
  <tableStyleInfo name="TableStyleLight18" showFirstColumn="0" showLastColumn="0" showRowStripes="1" showColumnStripes="0"/>
</table>
</file>

<file path=xl/tables/table695.xml><?xml version="1.0" encoding="utf-8"?>
<table xmlns="http://schemas.openxmlformats.org/spreadsheetml/2006/main" id="695" name="Fence_87" displayName="Fence_87" ref="A106:D121" totalsRowShown="0" headerRowDxfId="855" dataDxfId="853" headerRowBorderDxfId="854" tableBorderDxfId="852" headerRowCellStyle="40% - Accent6">
  <autoFilter ref="A106:D121"/>
  <tableColumns count="4">
    <tableColumn id="1" name="Expense" dataDxfId="851"/>
    <tableColumn id="2" name="Description" dataDxfId="850"/>
    <tableColumn id="4" name="Label Name" dataDxfId="849"/>
    <tableColumn id="5" name="Amount" dataDxfId="848" dataCellStyle="40% - Accent6"/>
  </tableColumns>
  <tableStyleInfo name="TableStyleLight18" showFirstColumn="0" showLastColumn="0" showRowStripes="1" showColumnStripes="0"/>
</table>
</file>

<file path=xl/tables/table696.xml><?xml version="1.0" encoding="utf-8"?>
<table xmlns="http://schemas.openxmlformats.org/spreadsheetml/2006/main" id="696" name="Demolition_87" displayName="Demolition_87" ref="A125:D140" totalsRowShown="0" headerRowDxfId="847" dataDxfId="845" headerRowBorderDxfId="846" tableBorderDxfId="844" headerRowCellStyle="40% - Accent6">
  <autoFilter ref="A125:D140"/>
  <tableColumns count="4">
    <tableColumn id="1" name="Expense" dataDxfId="843"/>
    <tableColumn id="2" name="Description" dataDxfId="842"/>
    <tableColumn id="4" name="Label Name" dataDxfId="841"/>
    <tableColumn id="5" name="Amount" dataDxfId="840" dataCellStyle="40% - Accent6"/>
  </tableColumns>
  <tableStyleInfo name="TableStyleLight18" showFirstColumn="0" showLastColumn="0" showRowStripes="1" showColumnStripes="0"/>
</table>
</file>

<file path=xl/tables/table697.xml><?xml version="1.0" encoding="utf-8"?>
<table xmlns="http://schemas.openxmlformats.org/spreadsheetml/2006/main" id="697" name="Rehab_87" displayName="Rehab_87" ref="A144:D159" totalsRowShown="0" headerRowDxfId="839" dataDxfId="837" headerRowBorderDxfId="838" tableBorderDxfId="836" headerRowCellStyle="40% - Accent6">
  <autoFilter ref="A144:D159"/>
  <tableColumns count="4">
    <tableColumn id="1" name="Expense" dataDxfId="835"/>
    <tableColumn id="2" name="Description" dataDxfId="834"/>
    <tableColumn id="4" name="Label Name" dataDxfId="833"/>
    <tableColumn id="5" name="Amount" dataDxfId="832" dataCellStyle="40% - Accent6"/>
  </tableColumns>
  <tableStyleInfo name="TableStyleLight18" showFirstColumn="0" showLastColumn="0" showRowStripes="1" showColumnStripes="0"/>
</table>
</file>

<file path=xl/tables/table698.xml><?xml version="1.0" encoding="utf-8"?>
<table xmlns="http://schemas.openxmlformats.org/spreadsheetml/2006/main" id="706" name="Grass_88" displayName="Grass_88" ref="A11:D26" totalsRowShown="0" headerRowDxfId="831" dataDxfId="829" headerRowBorderDxfId="830" tableBorderDxfId="828" headerRowCellStyle="40% - Accent6">
  <autoFilter ref="A11:D26"/>
  <tableColumns count="4">
    <tableColumn id="1" name="Expense" dataDxfId="827"/>
    <tableColumn id="2" name="Description" dataDxfId="826"/>
    <tableColumn id="4" name="Label Name" dataDxfId="825"/>
    <tableColumn id="5" name="Amount" dataDxfId="824" dataCellStyle="20% - Accent6"/>
  </tableColumns>
  <tableStyleInfo name="TableStyleLight18" showFirstColumn="0" showLastColumn="0" showRowStripes="1" showColumnStripes="0"/>
</table>
</file>

<file path=xl/tables/table699.xml><?xml version="1.0" encoding="utf-8"?>
<table xmlns="http://schemas.openxmlformats.org/spreadsheetml/2006/main" id="707" name="Tree_88" displayName="Tree_88" ref="A30:D45" totalsRowShown="0" headerRowDxfId="823" dataDxfId="821" headerRowBorderDxfId="822" tableBorderDxfId="820" headerRowCellStyle="40% - Accent6">
  <autoFilter ref="A30:D45"/>
  <tableColumns count="4">
    <tableColumn id="1" name="Expense" dataDxfId="819"/>
    <tableColumn id="2" name="Description" dataDxfId="818"/>
    <tableColumn id="4" name="Label Name" dataDxfId="817"/>
    <tableColumn id="5" name="Amount" dataDxfId="816" dataCellStyle="40% - Accent6"/>
  </tableColumns>
  <tableStyleInfo name="TableStyleLight18" showFirstColumn="0" showLastColumn="0" showRowStripes="1" showColumnStripes="0"/>
</table>
</file>

<file path=xl/tables/table7.xml><?xml version="1.0" encoding="utf-8"?>
<table xmlns="http://schemas.openxmlformats.org/spreadsheetml/2006/main" id="64" name="Fence_1" displayName="Fence_1" ref="A106:D121" totalsRowShown="0" headerRowDxfId="6359" dataDxfId="6357" headerRowBorderDxfId="6358" tableBorderDxfId="6356" headerRowCellStyle="40% - Accent6">
  <autoFilter ref="A106:D121"/>
  <tableColumns count="4">
    <tableColumn id="1" name="Expense" dataDxfId="6355"/>
    <tableColumn id="2" name="Description" dataDxfId="6354"/>
    <tableColumn id="4" name="Label Name" dataDxfId="6353"/>
    <tableColumn id="5" name="Amount" dataDxfId="6352" dataCellStyle="40% - Accent6"/>
  </tableColumns>
  <tableStyleInfo name="TableStyleLight18" showFirstColumn="0" showLastColumn="0" showRowStripes="1" showColumnStripes="0"/>
</table>
</file>

<file path=xl/tables/table70.xml><?xml version="1.0" encoding="utf-8"?>
<table xmlns="http://schemas.openxmlformats.org/spreadsheetml/2006/main" id="135" name="Boarding_9" displayName="Boarding_9" ref="A87:D102" totalsRowShown="0" headerRowDxfId="5855" dataDxfId="5853" headerRowBorderDxfId="5854" tableBorderDxfId="5852" headerRowCellStyle="40% - Accent6">
  <autoFilter ref="A87:D102"/>
  <tableColumns count="4">
    <tableColumn id="1" name="Expense" dataDxfId="5851"/>
    <tableColumn id="2" name="Description" dataDxfId="5850"/>
    <tableColumn id="4" name="Label Name" dataDxfId="5849"/>
    <tableColumn id="5" name="Amount" dataDxfId="5848" dataCellStyle="40% - Accent6"/>
  </tableColumns>
  <tableStyleInfo name="TableStyleLight18" showFirstColumn="0" showLastColumn="0" showRowStripes="1" showColumnStripes="0"/>
</table>
</file>

<file path=xl/tables/table700.xml><?xml version="1.0" encoding="utf-8"?>
<table xmlns="http://schemas.openxmlformats.org/spreadsheetml/2006/main" id="708" name="Pest_88" displayName="Pest_88" ref="A49:D64" totalsRowShown="0" headerRowDxfId="815" dataDxfId="813" headerRowBorderDxfId="814" tableBorderDxfId="812" headerRowCellStyle="40% - Accent6">
  <autoFilter ref="A49:D64"/>
  <tableColumns count="4">
    <tableColumn id="1" name="Expense" dataDxfId="811"/>
    <tableColumn id="2" name="Description" dataDxfId="810"/>
    <tableColumn id="4" name="Label Name" dataDxfId="809"/>
    <tableColumn id="5" name="Amount" dataDxfId="808" dataCellStyle="40% - Accent6"/>
  </tableColumns>
  <tableStyleInfo name="TableStyleLight18" showFirstColumn="0" showLastColumn="0" showRowStripes="1" showColumnStripes="0"/>
</table>
</file>

<file path=xl/tables/table701.xml><?xml version="1.0" encoding="utf-8"?>
<table xmlns="http://schemas.openxmlformats.org/spreadsheetml/2006/main" id="709" name="Garbage_88" displayName="Garbage_88" ref="A68:D83" totalsRowShown="0" headerRowDxfId="807" dataDxfId="805" headerRowBorderDxfId="806" tableBorderDxfId="804" headerRowCellStyle="40% - Accent6">
  <autoFilter ref="A68:D83"/>
  <tableColumns count="4">
    <tableColumn id="1" name="Expense" dataDxfId="803"/>
    <tableColumn id="2" name="Description" dataDxfId="802"/>
    <tableColumn id="4" name="Label Name" dataDxfId="801"/>
    <tableColumn id="5" name="Amount" dataDxfId="800" dataCellStyle="20% - Accent6"/>
  </tableColumns>
  <tableStyleInfo name="TableStyleLight18" showFirstColumn="0" showLastColumn="0" showRowStripes="1" showColumnStripes="0"/>
</table>
</file>

<file path=xl/tables/table702.xml><?xml version="1.0" encoding="utf-8"?>
<table xmlns="http://schemas.openxmlformats.org/spreadsheetml/2006/main" id="710" name="Boarding_88" displayName="Boarding_88" ref="A87:D102" totalsRowShown="0" headerRowDxfId="799" dataDxfId="797" headerRowBorderDxfId="798" tableBorderDxfId="796" headerRowCellStyle="40% - Accent6">
  <autoFilter ref="A87:D102"/>
  <tableColumns count="4">
    <tableColumn id="1" name="Expense" dataDxfId="795"/>
    <tableColumn id="2" name="Description" dataDxfId="794"/>
    <tableColumn id="4" name="Label Name" dataDxfId="793"/>
    <tableColumn id="5" name="Amount" dataDxfId="792" dataCellStyle="40% - Accent6"/>
  </tableColumns>
  <tableStyleInfo name="TableStyleLight18" showFirstColumn="0" showLastColumn="0" showRowStripes="1" showColumnStripes="0"/>
</table>
</file>

<file path=xl/tables/table703.xml><?xml version="1.0" encoding="utf-8"?>
<table xmlns="http://schemas.openxmlformats.org/spreadsheetml/2006/main" id="711" name="Fence_88" displayName="Fence_88" ref="A106:D121" totalsRowShown="0" headerRowDxfId="791" dataDxfId="789" headerRowBorderDxfId="790" tableBorderDxfId="788" headerRowCellStyle="40% - Accent6">
  <autoFilter ref="A106:D121"/>
  <tableColumns count="4">
    <tableColumn id="1" name="Expense" dataDxfId="787"/>
    <tableColumn id="2" name="Description" dataDxfId="786"/>
    <tableColumn id="4" name="Label Name" dataDxfId="785"/>
    <tableColumn id="5" name="Amount" dataDxfId="784" dataCellStyle="40% - Accent6"/>
  </tableColumns>
  <tableStyleInfo name="TableStyleLight18" showFirstColumn="0" showLastColumn="0" showRowStripes="1" showColumnStripes="0"/>
</table>
</file>

<file path=xl/tables/table704.xml><?xml version="1.0" encoding="utf-8"?>
<table xmlns="http://schemas.openxmlformats.org/spreadsheetml/2006/main" id="712" name="Demolition_88" displayName="Demolition_88" ref="A125:D140" totalsRowShown="0" headerRowDxfId="783" dataDxfId="781" headerRowBorderDxfId="782" tableBorderDxfId="780" headerRowCellStyle="40% - Accent6">
  <autoFilter ref="A125:D140"/>
  <tableColumns count="4">
    <tableColumn id="1" name="Expense" dataDxfId="779"/>
    <tableColumn id="2" name="Description" dataDxfId="778"/>
    <tableColumn id="4" name="Label Name" dataDxfId="777"/>
    <tableColumn id="5" name="Amount" dataDxfId="776" dataCellStyle="40% - Accent6"/>
  </tableColumns>
  <tableStyleInfo name="TableStyleLight18" showFirstColumn="0" showLastColumn="0" showRowStripes="1" showColumnStripes="0"/>
</table>
</file>

<file path=xl/tables/table705.xml><?xml version="1.0" encoding="utf-8"?>
<table xmlns="http://schemas.openxmlformats.org/spreadsheetml/2006/main" id="713" name="Rehab_88" displayName="Rehab_88" ref="A144:D159" totalsRowShown="0" headerRowDxfId="775" dataDxfId="773" headerRowBorderDxfId="774" tableBorderDxfId="772" headerRowCellStyle="40% - Accent6">
  <autoFilter ref="A144:D159"/>
  <tableColumns count="4">
    <tableColumn id="1" name="Expense" dataDxfId="771"/>
    <tableColumn id="2" name="Description" dataDxfId="770"/>
    <tableColumn id="4" name="Label Name" dataDxfId="769"/>
    <tableColumn id="5" name="Amount" dataDxfId="768" dataCellStyle="40% - Accent6"/>
  </tableColumns>
  <tableStyleInfo name="TableStyleLight18" showFirstColumn="0" showLastColumn="0" showRowStripes="1" showColumnStripes="0"/>
</table>
</file>

<file path=xl/tables/table706.xml><?xml version="1.0" encoding="utf-8"?>
<table xmlns="http://schemas.openxmlformats.org/spreadsheetml/2006/main" id="698" name="Grass_89" displayName="Grass_89" ref="A11:D26" totalsRowShown="0" headerRowDxfId="767" dataDxfId="765" headerRowBorderDxfId="766" tableBorderDxfId="764" headerRowCellStyle="40% - Accent6">
  <autoFilter ref="A11:D26"/>
  <tableColumns count="4">
    <tableColumn id="1" name="Expense" dataDxfId="763"/>
    <tableColumn id="2" name="Description" dataDxfId="762"/>
    <tableColumn id="4" name="Label Name" dataDxfId="761"/>
    <tableColumn id="5" name="Amount" dataDxfId="760" dataCellStyle="20% - Accent6"/>
  </tableColumns>
  <tableStyleInfo name="TableStyleLight18" showFirstColumn="0" showLastColumn="0" showRowStripes="1" showColumnStripes="0"/>
</table>
</file>

<file path=xl/tables/table707.xml><?xml version="1.0" encoding="utf-8"?>
<table xmlns="http://schemas.openxmlformats.org/spreadsheetml/2006/main" id="699" name="Tree_89" displayName="Tree_89" ref="A30:D45" totalsRowShown="0" headerRowDxfId="759" dataDxfId="757" headerRowBorderDxfId="758" tableBorderDxfId="756" headerRowCellStyle="40% - Accent6">
  <autoFilter ref="A30:D45"/>
  <tableColumns count="4">
    <tableColumn id="1" name="Expense" dataDxfId="755"/>
    <tableColumn id="2" name="Description" dataDxfId="754"/>
    <tableColumn id="4" name="Label Name" dataDxfId="753"/>
    <tableColumn id="5" name="Amount" dataDxfId="752" dataCellStyle="40% - Accent6"/>
  </tableColumns>
  <tableStyleInfo name="TableStyleLight18" showFirstColumn="0" showLastColumn="0" showRowStripes="1" showColumnStripes="0"/>
</table>
</file>

<file path=xl/tables/table708.xml><?xml version="1.0" encoding="utf-8"?>
<table xmlns="http://schemas.openxmlformats.org/spreadsheetml/2006/main" id="700" name="Pest_89" displayName="Pest_89" ref="A49:D64" totalsRowShown="0" headerRowDxfId="751" dataDxfId="749" headerRowBorderDxfId="750" tableBorderDxfId="748" headerRowCellStyle="40% - Accent6">
  <autoFilter ref="A49:D64"/>
  <tableColumns count="4">
    <tableColumn id="1" name="Expense" dataDxfId="747"/>
    <tableColumn id="2" name="Description" dataDxfId="746"/>
    <tableColumn id="4" name="Label Name" dataDxfId="745"/>
    <tableColumn id="5" name="Amount" dataDxfId="744" dataCellStyle="40% - Accent6"/>
  </tableColumns>
  <tableStyleInfo name="TableStyleLight18" showFirstColumn="0" showLastColumn="0" showRowStripes="1" showColumnStripes="0"/>
</table>
</file>

<file path=xl/tables/table709.xml><?xml version="1.0" encoding="utf-8"?>
<table xmlns="http://schemas.openxmlformats.org/spreadsheetml/2006/main" id="701" name="Garbage_89" displayName="Garbage_89" ref="A68:D83" totalsRowShown="0" headerRowDxfId="743" dataDxfId="741" headerRowBorderDxfId="742" tableBorderDxfId="740" headerRowCellStyle="40% - Accent6">
  <autoFilter ref="A68:D83"/>
  <tableColumns count="4">
    <tableColumn id="1" name="Expense" dataDxfId="739"/>
    <tableColumn id="2" name="Description" dataDxfId="738"/>
    <tableColumn id="4" name="Label Name" dataDxfId="737"/>
    <tableColumn id="5" name="Amount" dataDxfId="736" dataCellStyle="20% - Accent6"/>
  </tableColumns>
  <tableStyleInfo name="TableStyleLight18" showFirstColumn="0" showLastColumn="0" showRowStripes="1" showColumnStripes="0"/>
</table>
</file>

<file path=xl/tables/table71.xml><?xml version="1.0" encoding="utf-8"?>
<table xmlns="http://schemas.openxmlformats.org/spreadsheetml/2006/main" id="136" name="Fence_9" displayName="Fence_9" ref="A106:D121" totalsRowShown="0" headerRowDxfId="5847" dataDxfId="5845" headerRowBorderDxfId="5846" tableBorderDxfId="5844" headerRowCellStyle="40% - Accent6">
  <autoFilter ref="A106:D121"/>
  <tableColumns count="4">
    <tableColumn id="1" name="Expense" dataDxfId="5843"/>
    <tableColumn id="2" name="Description" dataDxfId="5842"/>
    <tableColumn id="4" name="Label Name" dataDxfId="5841"/>
    <tableColumn id="5" name="Amount" dataDxfId="5840" dataCellStyle="40% - Accent6"/>
  </tableColumns>
  <tableStyleInfo name="TableStyleLight18" showFirstColumn="0" showLastColumn="0" showRowStripes="1" showColumnStripes="0"/>
</table>
</file>

<file path=xl/tables/table710.xml><?xml version="1.0" encoding="utf-8"?>
<table xmlns="http://schemas.openxmlformats.org/spreadsheetml/2006/main" id="702" name="Boarding_89" displayName="Boarding_89" ref="A87:D102" totalsRowShown="0" headerRowDxfId="735" dataDxfId="733" headerRowBorderDxfId="734" tableBorderDxfId="732" headerRowCellStyle="40% - Accent6">
  <autoFilter ref="A87:D102"/>
  <tableColumns count="4">
    <tableColumn id="1" name="Expense" dataDxfId="731"/>
    <tableColumn id="2" name="Description" dataDxfId="730"/>
    <tableColumn id="4" name="Label Name" dataDxfId="729"/>
    <tableColumn id="5" name="Amount" dataDxfId="728" dataCellStyle="40% - Accent6"/>
  </tableColumns>
  <tableStyleInfo name="TableStyleLight18" showFirstColumn="0" showLastColumn="0" showRowStripes="1" showColumnStripes="0"/>
</table>
</file>

<file path=xl/tables/table711.xml><?xml version="1.0" encoding="utf-8"?>
<table xmlns="http://schemas.openxmlformats.org/spreadsheetml/2006/main" id="703" name="Fence_89" displayName="Fence_89" ref="A106:D121" totalsRowShown="0" headerRowDxfId="727" dataDxfId="725" headerRowBorderDxfId="726" tableBorderDxfId="724" headerRowCellStyle="40% - Accent6">
  <autoFilter ref="A106:D121"/>
  <tableColumns count="4">
    <tableColumn id="1" name="Expense" dataDxfId="723"/>
    <tableColumn id="2" name="Description" dataDxfId="722"/>
    <tableColumn id="4" name="Label Name" dataDxfId="721"/>
    <tableColumn id="5" name="Amount" dataDxfId="720" dataCellStyle="40% - Accent6"/>
  </tableColumns>
  <tableStyleInfo name="TableStyleLight18" showFirstColumn="0" showLastColumn="0" showRowStripes="1" showColumnStripes="0"/>
</table>
</file>

<file path=xl/tables/table712.xml><?xml version="1.0" encoding="utf-8"?>
<table xmlns="http://schemas.openxmlformats.org/spreadsheetml/2006/main" id="704" name="Demolition_89" displayName="Demolition_89" ref="A125:D140" totalsRowShown="0" headerRowDxfId="719" dataDxfId="717" headerRowBorderDxfId="718" tableBorderDxfId="716" headerRowCellStyle="40% - Accent6">
  <autoFilter ref="A125:D140"/>
  <tableColumns count="4">
    <tableColumn id="1" name="Expense" dataDxfId="715"/>
    <tableColumn id="2" name="Description" dataDxfId="714"/>
    <tableColumn id="4" name="Label Name" dataDxfId="713"/>
    <tableColumn id="5" name="Amount" dataDxfId="712" dataCellStyle="40% - Accent6"/>
  </tableColumns>
  <tableStyleInfo name="TableStyleLight18" showFirstColumn="0" showLastColumn="0" showRowStripes="1" showColumnStripes="0"/>
</table>
</file>

<file path=xl/tables/table713.xml><?xml version="1.0" encoding="utf-8"?>
<table xmlns="http://schemas.openxmlformats.org/spreadsheetml/2006/main" id="705" name="Rehab_89" displayName="Rehab_89" ref="A144:D159" totalsRowShown="0" headerRowDxfId="711" dataDxfId="709" headerRowBorderDxfId="710" tableBorderDxfId="708" headerRowCellStyle="40% - Accent6">
  <autoFilter ref="A144:D159"/>
  <tableColumns count="4">
    <tableColumn id="1" name="Expense" dataDxfId="707"/>
    <tableColumn id="2" name="Description" dataDxfId="706"/>
    <tableColumn id="4" name="Label Name" dataDxfId="705"/>
    <tableColumn id="5" name="Amount" dataDxfId="704" dataCellStyle="40% - Accent6"/>
  </tableColumns>
  <tableStyleInfo name="TableStyleLight18" showFirstColumn="0" showLastColumn="0" showRowStripes="1" showColumnStripes="0"/>
</table>
</file>

<file path=xl/tables/table714.xml><?xml version="1.0" encoding="utf-8"?>
<table xmlns="http://schemas.openxmlformats.org/spreadsheetml/2006/main" id="714" name="Grass_90" displayName="Grass_90" ref="A11:D26" totalsRowShown="0" headerRowDxfId="703" dataDxfId="701" headerRowBorderDxfId="702" tableBorderDxfId="700" headerRowCellStyle="40% - Accent6">
  <autoFilter ref="A11:D26"/>
  <tableColumns count="4">
    <tableColumn id="1" name="Expense" dataDxfId="699"/>
    <tableColumn id="2" name="Description" dataDxfId="698"/>
    <tableColumn id="4" name="Label Name" dataDxfId="697"/>
    <tableColumn id="5" name="Amount" dataDxfId="696" dataCellStyle="20% - Accent6"/>
  </tableColumns>
  <tableStyleInfo name="TableStyleLight18" showFirstColumn="0" showLastColumn="0" showRowStripes="1" showColumnStripes="0"/>
</table>
</file>

<file path=xl/tables/table715.xml><?xml version="1.0" encoding="utf-8"?>
<table xmlns="http://schemas.openxmlformats.org/spreadsheetml/2006/main" id="715" name="Tree_90" displayName="Tree_90" ref="A30:D45" totalsRowShown="0" headerRowDxfId="695" dataDxfId="693" headerRowBorderDxfId="694" tableBorderDxfId="692" headerRowCellStyle="40% - Accent6">
  <autoFilter ref="A30:D45"/>
  <tableColumns count="4">
    <tableColumn id="1" name="Expense" dataDxfId="691"/>
    <tableColumn id="2" name="Description" dataDxfId="690"/>
    <tableColumn id="4" name="Label Name" dataDxfId="689"/>
    <tableColumn id="5" name="Amount" dataDxfId="688" dataCellStyle="40% - Accent6"/>
  </tableColumns>
  <tableStyleInfo name="TableStyleLight18" showFirstColumn="0" showLastColumn="0" showRowStripes="1" showColumnStripes="0"/>
</table>
</file>

<file path=xl/tables/table716.xml><?xml version="1.0" encoding="utf-8"?>
<table xmlns="http://schemas.openxmlformats.org/spreadsheetml/2006/main" id="716" name="Pest_90" displayName="Pest_90" ref="A49:D64" totalsRowShown="0" headerRowDxfId="687" dataDxfId="685" headerRowBorderDxfId="686" tableBorderDxfId="684" headerRowCellStyle="40% - Accent6">
  <autoFilter ref="A49:D64"/>
  <tableColumns count="4">
    <tableColumn id="1" name="Expense" dataDxfId="683"/>
    <tableColumn id="2" name="Description" dataDxfId="682"/>
    <tableColumn id="4" name="Label Name" dataDxfId="681"/>
    <tableColumn id="5" name="Amount" dataDxfId="680" dataCellStyle="40% - Accent6"/>
  </tableColumns>
  <tableStyleInfo name="TableStyleLight18" showFirstColumn="0" showLastColumn="0" showRowStripes="1" showColumnStripes="0"/>
</table>
</file>

<file path=xl/tables/table717.xml><?xml version="1.0" encoding="utf-8"?>
<table xmlns="http://schemas.openxmlformats.org/spreadsheetml/2006/main" id="717" name="Garbage_90" displayName="Garbage_90" ref="A68:D83" totalsRowShown="0" headerRowDxfId="679" dataDxfId="677" headerRowBorderDxfId="678" tableBorderDxfId="676" headerRowCellStyle="40% - Accent6">
  <autoFilter ref="A68:D83"/>
  <tableColumns count="4">
    <tableColumn id="1" name="Expense" dataDxfId="675"/>
    <tableColumn id="2" name="Description" dataDxfId="674"/>
    <tableColumn id="4" name="Label Name" dataDxfId="673"/>
    <tableColumn id="5" name="Amount" dataDxfId="672" dataCellStyle="20% - Accent6"/>
  </tableColumns>
  <tableStyleInfo name="TableStyleLight18" showFirstColumn="0" showLastColumn="0" showRowStripes="1" showColumnStripes="0"/>
</table>
</file>

<file path=xl/tables/table718.xml><?xml version="1.0" encoding="utf-8"?>
<table xmlns="http://schemas.openxmlformats.org/spreadsheetml/2006/main" id="718" name="Boarding_90" displayName="Boarding_90" ref="A87:D102" totalsRowShown="0" headerRowDxfId="671" dataDxfId="669" headerRowBorderDxfId="670" tableBorderDxfId="668" headerRowCellStyle="40% - Accent6">
  <autoFilter ref="A87:D102"/>
  <tableColumns count="4">
    <tableColumn id="1" name="Expense" dataDxfId="667"/>
    <tableColumn id="2" name="Description" dataDxfId="666"/>
    <tableColumn id="4" name="Label Name" dataDxfId="665"/>
    <tableColumn id="5" name="Amount" dataDxfId="664" dataCellStyle="40% - Accent6"/>
  </tableColumns>
  <tableStyleInfo name="TableStyleLight18" showFirstColumn="0" showLastColumn="0" showRowStripes="1" showColumnStripes="0"/>
</table>
</file>

<file path=xl/tables/table719.xml><?xml version="1.0" encoding="utf-8"?>
<table xmlns="http://schemas.openxmlformats.org/spreadsheetml/2006/main" id="719" name="Fence_90" displayName="Fence_90" ref="A106:D121" totalsRowShown="0" headerRowDxfId="663" dataDxfId="661" headerRowBorderDxfId="662" tableBorderDxfId="660" headerRowCellStyle="40% - Accent6">
  <autoFilter ref="A106:D121"/>
  <tableColumns count="4">
    <tableColumn id="1" name="Expense" dataDxfId="659"/>
    <tableColumn id="2" name="Description" dataDxfId="658"/>
    <tableColumn id="4" name="Label Name" dataDxfId="657"/>
    <tableColumn id="5" name="Amount" dataDxfId="656" dataCellStyle="40% - Accent6"/>
  </tableColumns>
  <tableStyleInfo name="TableStyleLight18" showFirstColumn="0" showLastColumn="0" showRowStripes="1" showColumnStripes="0"/>
</table>
</file>

<file path=xl/tables/table72.xml><?xml version="1.0" encoding="utf-8"?>
<table xmlns="http://schemas.openxmlformats.org/spreadsheetml/2006/main" id="137" name="Demolition_9" displayName="Demolition_9" ref="A125:D140" totalsRowShown="0" headerRowDxfId="5839" dataDxfId="5837" headerRowBorderDxfId="5838" tableBorderDxfId="5836" headerRowCellStyle="40% - Accent6">
  <autoFilter ref="A125:D140"/>
  <tableColumns count="4">
    <tableColumn id="1" name="Expense" dataDxfId="5835"/>
    <tableColumn id="2" name="Description" dataDxfId="5834"/>
    <tableColumn id="4" name="Label Name" dataDxfId="5833"/>
    <tableColumn id="5" name="Amount" dataDxfId="5832" dataCellStyle="40% - Accent6"/>
  </tableColumns>
  <tableStyleInfo name="TableStyleLight18" showFirstColumn="0" showLastColumn="0" showRowStripes="1" showColumnStripes="0"/>
</table>
</file>

<file path=xl/tables/table720.xml><?xml version="1.0" encoding="utf-8"?>
<table xmlns="http://schemas.openxmlformats.org/spreadsheetml/2006/main" id="720" name="Demolition_90" displayName="Demolition_90" ref="A125:D140" totalsRowShown="0" headerRowDxfId="655" dataDxfId="653" headerRowBorderDxfId="654" tableBorderDxfId="652" headerRowCellStyle="40% - Accent6">
  <autoFilter ref="A125:D140"/>
  <tableColumns count="4">
    <tableColumn id="1" name="Expense" dataDxfId="651"/>
    <tableColumn id="2" name="Description" dataDxfId="650"/>
    <tableColumn id="4" name="Label Name" dataDxfId="649"/>
    <tableColumn id="5" name="Amount" dataDxfId="648" dataCellStyle="40% - Accent6"/>
  </tableColumns>
  <tableStyleInfo name="TableStyleLight18" showFirstColumn="0" showLastColumn="0" showRowStripes="1" showColumnStripes="0"/>
</table>
</file>

<file path=xl/tables/table721.xml><?xml version="1.0" encoding="utf-8"?>
<table xmlns="http://schemas.openxmlformats.org/spreadsheetml/2006/main" id="721" name="Rehab_90" displayName="Rehab_90" ref="A144:D159" totalsRowShown="0" headerRowDxfId="647" dataDxfId="645" headerRowBorderDxfId="646" tableBorderDxfId="644" headerRowCellStyle="40% - Accent6">
  <autoFilter ref="A144:D159"/>
  <tableColumns count="4">
    <tableColumn id="1" name="Expense" dataDxfId="643"/>
    <tableColumn id="2" name="Description" dataDxfId="642"/>
    <tableColumn id="4" name="Label Name" dataDxfId="641"/>
    <tableColumn id="5" name="Amount" dataDxfId="640" dataCellStyle="40% - Accent6"/>
  </tableColumns>
  <tableStyleInfo name="TableStyleLight18" showFirstColumn="0" showLastColumn="0" showRowStripes="1" showColumnStripes="0"/>
</table>
</file>

<file path=xl/tables/table722.xml><?xml version="1.0" encoding="utf-8"?>
<table xmlns="http://schemas.openxmlformats.org/spreadsheetml/2006/main" id="722" name="Grass_91" displayName="Grass_91" ref="A11:D26" totalsRowShown="0" headerRowDxfId="639" dataDxfId="637" headerRowBorderDxfId="638" tableBorderDxfId="636" headerRowCellStyle="40% - Accent6">
  <autoFilter ref="A11:D26"/>
  <tableColumns count="4">
    <tableColumn id="1" name="Expense" dataDxfId="635"/>
    <tableColumn id="2" name="Description" dataDxfId="634"/>
    <tableColumn id="4" name="Label Name" dataDxfId="633"/>
    <tableColumn id="5" name="Amount" dataDxfId="632" dataCellStyle="20% - Accent6"/>
  </tableColumns>
  <tableStyleInfo name="TableStyleLight18" showFirstColumn="0" showLastColumn="0" showRowStripes="1" showColumnStripes="0"/>
</table>
</file>

<file path=xl/tables/table723.xml><?xml version="1.0" encoding="utf-8"?>
<table xmlns="http://schemas.openxmlformats.org/spreadsheetml/2006/main" id="723" name="Tree_91" displayName="Tree_91" ref="A30:D45" totalsRowShown="0" headerRowDxfId="631" dataDxfId="629" headerRowBorderDxfId="630" tableBorderDxfId="628" headerRowCellStyle="40% - Accent6">
  <autoFilter ref="A30:D45"/>
  <tableColumns count="4">
    <tableColumn id="1" name="Expense" dataDxfId="627"/>
    <tableColumn id="2" name="Description" dataDxfId="626"/>
    <tableColumn id="4" name="Label Name" dataDxfId="625"/>
    <tableColumn id="5" name="Amount" dataDxfId="624" dataCellStyle="40% - Accent6"/>
  </tableColumns>
  <tableStyleInfo name="TableStyleLight18" showFirstColumn="0" showLastColumn="0" showRowStripes="1" showColumnStripes="0"/>
</table>
</file>

<file path=xl/tables/table724.xml><?xml version="1.0" encoding="utf-8"?>
<table xmlns="http://schemas.openxmlformats.org/spreadsheetml/2006/main" id="724" name="Pest_91" displayName="Pest_91" ref="A49:D64" totalsRowShown="0" headerRowDxfId="623" dataDxfId="621" headerRowBorderDxfId="622" tableBorderDxfId="620" headerRowCellStyle="40% - Accent6">
  <autoFilter ref="A49:D64"/>
  <tableColumns count="4">
    <tableColumn id="1" name="Expense" dataDxfId="619"/>
    <tableColumn id="2" name="Description" dataDxfId="618"/>
    <tableColumn id="4" name="Label Name" dataDxfId="617"/>
    <tableColumn id="5" name="Amount" dataDxfId="616" dataCellStyle="40% - Accent6"/>
  </tableColumns>
  <tableStyleInfo name="TableStyleLight18" showFirstColumn="0" showLastColumn="0" showRowStripes="1" showColumnStripes="0"/>
</table>
</file>

<file path=xl/tables/table725.xml><?xml version="1.0" encoding="utf-8"?>
<table xmlns="http://schemas.openxmlformats.org/spreadsheetml/2006/main" id="725" name="Garbage_91" displayName="Garbage_91" ref="A68:D83" totalsRowShown="0" headerRowDxfId="615" dataDxfId="613" headerRowBorderDxfId="614" tableBorderDxfId="612" headerRowCellStyle="40% - Accent6">
  <autoFilter ref="A68:D83"/>
  <tableColumns count="4">
    <tableColumn id="1" name="Expense" dataDxfId="611"/>
    <tableColumn id="2" name="Description" dataDxfId="610"/>
    <tableColumn id="4" name="Label Name" dataDxfId="609"/>
    <tableColumn id="5" name="Amount" dataDxfId="608" dataCellStyle="20% - Accent6"/>
  </tableColumns>
  <tableStyleInfo name="TableStyleLight18" showFirstColumn="0" showLastColumn="0" showRowStripes="1" showColumnStripes="0"/>
</table>
</file>

<file path=xl/tables/table726.xml><?xml version="1.0" encoding="utf-8"?>
<table xmlns="http://schemas.openxmlformats.org/spreadsheetml/2006/main" id="726" name="Boarding_91" displayName="Boarding_91" ref="A87:D102" totalsRowShown="0" headerRowDxfId="607" dataDxfId="605" headerRowBorderDxfId="606" tableBorderDxfId="604" headerRowCellStyle="40% - Accent6">
  <autoFilter ref="A87:D102"/>
  <tableColumns count="4">
    <tableColumn id="1" name="Expense" dataDxfId="603"/>
    <tableColumn id="2" name="Description" dataDxfId="602"/>
    <tableColumn id="4" name="Label Name" dataDxfId="601"/>
    <tableColumn id="5" name="Amount" dataDxfId="600" dataCellStyle="40% - Accent6"/>
  </tableColumns>
  <tableStyleInfo name="TableStyleLight18" showFirstColumn="0" showLastColumn="0" showRowStripes="1" showColumnStripes="0"/>
</table>
</file>

<file path=xl/tables/table727.xml><?xml version="1.0" encoding="utf-8"?>
<table xmlns="http://schemas.openxmlformats.org/spreadsheetml/2006/main" id="727" name="Fence_91" displayName="Fence_91" ref="A106:D121" totalsRowShown="0" headerRowDxfId="599" dataDxfId="597" headerRowBorderDxfId="598" tableBorderDxfId="596" headerRowCellStyle="40% - Accent6">
  <autoFilter ref="A106:D121"/>
  <tableColumns count="4">
    <tableColumn id="1" name="Expense" dataDxfId="595"/>
    <tableColumn id="2" name="Description" dataDxfId="594"/>
    <tableColumn id="4" name="Label Name" dataDxfId="593"/>
    <tableColumn id="5" name="Amount" dataDxfId="592" dataCellStyle="40% - Accent6"/>
  </tableColumns>
  <tableStyleInfo name="TableStyleLight18" showFirstColumn="0" showLastColumn="0" showRowStripes="1" showColumnStripes="0"/>
</table>
</file>

<file path=xl/tables/table728.xml><?xml version="1.0" encoding="utf-8"?>
<table xmlns="http://schemas.openxmlformats.org/spreadsheetml/2006/main" id="728" name="Demolition_91" displayName="Demolition_91" ref="A125:D140" totalsRowShown="0" headerRowDxfId="591" dataDxfId="589" headerRowBorderDxfId="590" tableBorderDxfId="588" headerRowCellStyle="40% - Accent6">
  <autoFilter ref="A125:D140"/>
  <tableColumns count="4">
    <tableColumn id="1" name="Expense" dataDxfId="587"/>
    <tableColumn id="2" name="Description" dataDxfId="586"/>
    <tableColumn id="4" name="Label Name" dataDxfId="585"/>
    <tableColumn id="5" name="Amount" dataDxfId="584" dataCellStyle="40% - Accent6"/>
  </tableColumns>
  <tableStyleInfo name="TableStyleLight18" showFirstColumn="0" showLastColumn="0" showRowStripes="1" showColumnStripes="0"/>
</table>
</file>

<file path=xl/tables/table729.xml><?xml version="1.0" encoding="utf-8"?>
<table xmlns="http://schemas.openxmlformats.org/spreadsheetml/2006/main" id="729" name="Rehab_91" displayName="Rehab_91" ref="A144:D159" totalsRowShown="0" headerRowDxfId="583" dataDxfId="581" headerRowBorderDxfId="582" tableBorderDxfId="580" headerRowCellStyle="40% - Accent6">
  <autoFilter ref="A144:D159"/>
  <tableColumns count="4">
    <tableColumn id="1" name="Expense" dataDxfId="579"/>
    <tableColumn id="2" name="Description" dataDxfId="578"/>
    <tableColumn id="4" name="Label Name" dataDxfId="577"/>
    <tableColumn id="5" name="Amount" dataDxfId="576" dataCellStyle="40% - Accent6"/>
  </tableColumns>
  <tableStyleInfo name="TableStyleLight18" showFirstColumn="0" showLastColumn="0" showRowStripes="1" showColumnStripes="0"/>
</table>
</file>

<file path=xl/tables/table73.xml><?xml version="1.0" encoding="utf-8"?>
<table xmlns="http://schemas.openxmlformats.org/spreadsheetml/2006/main" id="138" name="Rehab_9" displayName="Rehab_9" ref="A144:D159" totalsRowShown="0" headerRowDxfId="5831" dataDxfId="5829" headerRowBorderDxfId="5830" tableBorderDxfId="5828" headerRowCellStyle="40% - Accent6">
  <autoFilter ref="A144:D159"/>
  <tableColumns count="4">
    <tableColumn id="1" name="Expense" dataDxfId="5827"/>
    <tableColumn id="2" name="Description" dataDxfId="5826"/>
    <tableColumn id="4" name="Label Name" dataDxfId="5825"/>
    <tableColumn id="5" name="Amount" dataDxfId="5824" dataCellStyle="40% - Accent6"/>
  </tableColumns>
  <tableStyleInfo name="TableStyleLight18" showFirstColumn="0" showLastColumn="0" showRowStripes="1" showColumnStripes="0"/>
</table>
</file>

<file path=xl/tables/table730.xml><?xml version="1.0" encoding="utf-8"?>
<table xmlns="http://schemas.openxmlformats.org/spreadsheetml/2006/main" id="730" name="Grass_92" displayName="Grass_92" ref="A11:D26" totalsRowShown="0" headerRowDxfId="575" dataDxfId="573" headerRowBorderDxfId="574" tableBorderDxfId="572" headerRowCellStyle="40% - Accent6">
  <autoFilter ref="A11:D26"/>
  <tableColumns count="4">
    <tableColumn id="1" name="Expense" dataDxfId="571"/>
    <tableColumn id="2" name="Description" dataDxfId="570"/>
    <tableColumn id="4" name="Label Name" dataDxfId="569"/>
    <tableColumn id="5" name="Amount" dataDxfId="568" dataCellStyle="20% - Accent6"/>
  </tableColumns>
  <tableStyleInfo name="TableStyleLight18" showFirstColumn="0" showLastColumn="0" showRowStripes="1" showColumnStripes="0"/>
</table>
</file>

<file path=xl/tables/table731.xml><?xml version="1.0" encoding="utf-8"?>
<table xmlns="http://schemas.openxmlformats.org/spreadsheetml/2006/main" id="731" name="Tree_92" displayName="Tree_92" ref="A30:D45" totalsRowShown="0" headerRowDxfId="567" dataDxfId="565" headerRowBorderDxfId="566" tableBorderDxfId="564" headerRowCellStyle="40% - Accent6">
  <autoFilter ref="A30:D45"/>
  <tableColumns count="4">
    <tableColumn id="1" name="Expense" dataDxfId="563"/>
    <tableColumn id="2" name="Description" dataDxfId="562"/>
    <tableColumn id="4" name="Label Name" dataDxfId="561"/>
    <tableColumn id="5" name="Amount" dataDxfId="560" dataCellStyle="40% - Accent6"/>
  </tableColumns>
  <tableStyleInfo name="TableStyleLight18" showFirstColumn="0" showLastColumn="0" showRowStripes="1" showColumnStripes="0"/>
</table>
</file>

<file path=xl/tables/table732.xml><?xml version="1.0" encoding="utf-8"?>
<table xmlns="http://schemas.openxmlformats.org/spreadsheetml/2006/main" id="732" name="Pest_92" displayName="Pest_92" ref="A49:D64" totalsRowShown="0" headerRowDxfId="559" dataDxfId="557" headerRowBorderDxfId="558" tableBorderDxfId="556" headerRowCellStyle="40% - Accent6">
  <autoFilter ref="A49:D64"/>
  <tableColumns count="4">
    <tableColumn id="1" name="Expense" dataDxfId="555"/>
    <tableColumn id="2" name="Description" dataDxfId="554"/>
    <tableColumn id="4" name="Label Name" dataDxfId="553"/>
    <tableColumn id="5" name="Amount" dataDxfId="552" dataCellStyle="40% - Accent6"/>
  </tableColumns>
  <tableStyleInfo name="TableStyleLight18" showFirstColumn="0" showLastColumn="0" showRowStripes="1" showColumnStripes="0"/>
</table>
</file>

<file path=xl/tables/table733.xml><?xml version="1.0" encoding="utf-8"?>
<table xmlns="http://schemas.openxmlformats.org/spreadsheetml/2006/main" id="733" name="Garbage_92" displayName="Garbage_92" ref="A68:D83" totalsRowShown="0" headerRowDxfId="551" dataDxfId="549" headerRowBorderDxfId="550" tableBorderDxfId="548" headerRowCellStyle="40% - Accent6">
  <autoFilter ref="A68:D83"/>
  <tableColumns count="4">
    <tableColumn id="1" name="Expense" dataDxfId="547"/>
    <tableColumn id="2" name="Description" dataDxfId="546"/>
    <tableColumn id="4" name="Label Name" dataDxfId="545"/>
    <tableColumn id="5" name="Amount" dataDxfId="544" dataCellStyle="20% - Accent6"/>
  </tableColumns>
  <tableStyleInfo name="TableStyleLight18" showFirstColumn="0" showLastColumn="0" showRowStripes="1" showColumnStripes="0"/>
</table>
</file>

<file path=xl/tables/table734.xml><?xml version="1.0" encoding="utf-8"?>
<table xmlns="http://schemas.openxmlformats.org/spreadsheetml/2006/main" id="734" name="Boarding_92" displayName="Boarding_92" ref="A87:D102" totalsRowShown="0" headerRowDxfId="543" dataDxfId="541" headerRowBorderDxfId="542" tableBorderDxfId="540" headerRowCellStyle="40% - Accent6">
  <autoFilter ref="A87:D102"/>
  <tableColumns count="4">
    <tableColumn id="1" name="Expense" dataDxfId="539"/>
    <tableColumn id="2" name="Description" dataDxfId="538"/>
    <tableColumn id="4" name="Label Name" dataDxfId="537"/>
    <tableColumn id="5" name="Amount" dataDxfId="536" dataCellStyle="40% - Accent6"/>
  </tableColumns>
  <tableStyleInfo name="TableStyleLight18" showFirstColumn="0" showLastColumn="0" showRowStripes="1" showColumnStripes="0"/>
</table>
</file>

<file path=xl/tables/table735.xml><?xml version="1.0" encoding="utf-8"?>
<table xmlns="http://schemas.openxmlformats.org/spreadsheetml/2006/main" id="735" name="Fence_92" displayName="Fence_92" ref="A106:D121" totalsRowShown="0" headerRowDxfId="535" dataDxfId="533" headerRowBorderDxfId="534" tableBorderDxfId="532" headerRowCellStyle="40% - Accent6">
  <autoFilter ref="A106:D121"/>
  <tableColumns count="4">
    <tableColumn id="1" name="Expense" dataDxfId="531"/>
    <tableColumn id="2" name="Description" dataDxfId="530"/>
    <tableColumn id="4" name="Label Name" dataDxfId="529"/>
    <tableColumn id="5" name="Amount" dataDxfId="528" dataCellStyle="40% - Accent6"/>
  </tableColumns>
  <tableStyleInfo name="TableStyleLight18" showFirstColumn="0" showLastColumn="0" showRowStripes="1" showColumnStripes="0"/>
</table>
</file>

<file path=xl/tables/table736.xml><?xml version="1.0" encoding="utf-8"?>
<table xmlns="http://schemas.openxmlformats.org/spreadsheetml/2006/main" id="736" name="Demolition_92" displayName="Demolition_92" ref="A125:D140" totalsRowShown="0" headerRowDxfId="527" dataDxfId="525" headerRowBorderDxfId="526" tableBorderDxfId="524" headerRowCellStyle="40% - Accent6">
  <autoFilter ref="A125:D140"/>
  <tableColumns count="4">
    <tableColumn id="1" name="Expense" dataDxfId="523"/>
    <tableColumn id="2" name="Description" dataDxfId="522"/>
    <tableColumn id="4" name="Label Name" dataDxfId="521"/>
    <tableColumn id="5" name="Amount" dataDxfId="520" dataCellStyle="40% - Accent6"/>
  </tableColumns>
  <tableStyleInfo name="TableStyleLight18" showFirstColumn="0" showLastColumn="0" showRowStripes="1" showColumnStripes="0"/>
</table>
</file>

<file path=xl/tables/table737.xml><?xml version="1.0" encoding="utf-8"?>
<table xmlns="http://schemas.openxmlformats.org/spreadsheetml/2006/main" id="737" name="Rehab_92" displayName="Rehab_92" ref="A144:D159" totalsRowShown="0" headerRowDxfId="519" dataDxfId="517" headerRowBorderDxfId="518" tableBorderDxfId="516" headerRowCellStyle="40% - Accent6">
  <autoFilter ref="A144:D159"/>
  <tableColumns count="4">
    <tableColumn id="1" name="Expense" dataDxfId="515"/>
    <tableColumn id="2" name="Description" dataDxfId="514"/>
    <tableColumn id="4" name="Label Name" dataDxfId="513"/>
    <tableColumn id="5" name="Amount" dataDxfId="512" dataCellStyle="40% - Accent6"/>
  </tableColumns>
  <tableStyleInfo name="TableStyleLight18" showFirstColumn="0" showLastColumn="0" showRowStripes="1" showColumnStripes="0"/>
</table>
</file>

<file path=xl/tables/table738.xml><?xml version="1.0" encoding="utf-8"?>
<table xmlns="http://schemas.openxmlformats.org/spreadsheetml/2006/main" id="738" name="Grass_93" displayName="Grass_93" ref="A11:D26" totalsRowShown="0" headerRowDxfId="511" dataDxfId="509" headerRowBorderDxfId="510" tableBorderDxfId="508" headerRowCellStyle="40% - Accent6">
  <autoFilter ref="A11:D26"/>
  <tableColumns count="4">
    <tableColumn id="1" name="Expense" dataDxfId="507"/>
    <tableColumn id="2" name="Description" dataDxfId="506"/>
    <tableColumn id="4" name="Label Name" dataDxfId="505"/>
    <tableColumn id="5" name="Amount" dataDxfId="504" dataCellStyle="20% - Accent6"/>
  </tableColumns>
  <tableStyleInfo name="TableStyleLight18" showFirstColumn="0" showLastColumn="0" showRowStripes="1" showColumnStripes="0"/>
</table>
</file>

<file path=xl/tables/table739.xml><?xml version="1.0" encoding="utf-8"?>
<table xmlns="http://schemas.openxmlformats.org/spreadsheetml/2006/main" id="739" name="Tree_93" displayName="Tree_93" ref="A30:D45" totalsRowShown="0" headerRowDxfId="503" dataDxfId="501" headerRowBorderDxfId="502" tableBorderDxfId="500" headerRowCellStyle="40% - Accent6">
  <autoFilter ref="A30:D45"/>
  <tableColumns count="4">
    <tableColumn id="1" name="Expense" dataDxfId="499"/>
    <tableColumn id="2" name="Description" dataDxfId="498"/>
    <tableColumn id="4" name="Label Name" dataDxfId="497"/>
    <tableColumn id="5" name="Amount" dataDxfId="496" dataCellStyle="40% - Accent6"/>
  </tableColumns>
  <tableStyleInfo name="TableStyleLight18" showFirstColumn="0" showLastColumn="0" showRowStripes="1" showColumnStripes="0"/>
</table>
</file>

<file path=xl/tables/table74.xml><?xml version="1.0" encoding="utf-8"?>
<table xmlns="http://schemas.openxmlformats.org/spreadsheetml/2006/main" id="139" name="Grass_10" displayName="Grass_10" ref="A11:D26" totalsRowShown="0" headerRowDxfId="5823" dataDxfId="5821" headerRowBorderDxfId="5822" tableBorderDxfId="5820" headerRowCellStyle="40% - Accent6">
  <autoFilter ref="A11:D26"/>
  <tableColumns count="4">
    <tableColumn id="1" name="Expense" dataDxfId="5819"/>
    <tableColumn id="2" name="Description" dataDxfId="5818"/>
    <tableColumn id="4" name="Label Name" dataDxfId="5817"/>
    <tableColumn id="5" name="Amount" dataDxfId="5816" dataCellStyle="20% - Accent6"/>
  </tableColumns>
  <tableStyleInfo name="TableStyleLight18" showFirstColumn="0" showLastColumn="0" showRowStripes="1" showColumnStripes="0"/>
</table>
</file>

<file path=xl/tables/table740.xml><?xml version="1.0" encoding="utf-8"?>
<table xmlns="http://schemas.openxmlformats.org/spreadsheetml/2006/main" id="740" name="Pest_93" displayName="Pest_93" ref="A49:D64" totalsRowShown="0" headerRowDxfId="495" dataDxfId="493" headerRowBorderDxfId="494" tableBorderDxfId="492" headerRowCellStyle="40% - Accent6">
  <autoFilter ref="A49:D64"/>
  <tableColumns count="4">
    <tableColumn id="1" name="Expense" dataDxfId="491"/>
    <tableColumn id="2" name="Description" dataDxfId="490"/>
    <tableColumn id="4" name="Label Name" dataDxfId="489"/>
    <tableColumn id="5" name="Amount" dataDxfId="488" dataCellStyle="40% - Accent6"/>
  </tableColumns>
  <tableStyleInfo name="TableStyleLight18" showFirstColumn="0" showLastColumn="0" showRowStripes="1" showColumnStripes="0"/>
</table>
</file>

<file path=xl/tables/table741.xml><?xml version="1.0" encoding="utf-8"?>
<table xmlns="http://schemas.openxmlformats.org/spreadsheetml/2006/main" id="741" name="Garbage_93" displayName="Garbage_93" ref="A68:D83" totalsRowShown="0" headerRowDxfId="487" dataDxfId="485" headerRowBorderDxfId="486" tableBorderDxfId="484" headerRowCellStyle="40% - Accent6">
  <autoFilter ref="A68:D83"/>
  <tableColumns count="4">
    <tableColumn id="1" name="Expense" dataDxfId="483"/>
    <tableColumn id="2" name="Description" dataDxfId="482"/>
    <tableColumn id="4" name="Label Name" dataDxfId="481"/>
    <tableColumn id="5" name="Amount" dataDxfId="480" dataCellStyle="20% - Accent6"/>
  </tableColumns>
  <tableStyleInfo name="TableStyleLight18" showFirstColumn="0" showLastColumn="0" showRowStripes="1" showColumnStripes="0"/>
</table>
</file>

<file path=xl/tables/table742.xml><?xml version="1.0" encoding="utf-8"?>
<table xmlns="http://schemas.openxmlformats.org/spreadsheetml/2006/main" id="742" name="Boarding_93" displayName="Boarding_93" ref="A87:D102" totalsRowShown="0" headerRowDxfId="479" dataDxfId="477" headerRowBorderDxfId="478" tableBorderDxfId="476" headerRowCellStyle="40% - Accent6">
  <autoFilter ref="A87:D102"/>
  <tableColumns count="4">
    <tableColumn id="1" name="Expense" dataDxfId="475"/>
    <tableColumn id="2" name="Description" dataDxfId="474"/>
    <tableColumn id="4" name="Label Name" dataDxfId="473"/>
    <tableColumn id="5" name="Amount" dataDxfId="472" dataCellStyle="40% - Accent6"/>
  </tableColumns>
  <tableStyleInfo name="TableStyleLight18" showFirstColumn="0" showLastColumn="0" showRowStripes="1" showColumnStripes="0"/>
</table>
</file>

<file path=xl/tables/table743.xml><?xml version="1.0" encoding="utf-8"?>
<table xmlns="http://schemas.openxmlformats.org/spreadsheetml/2006/main" id="743" name="Fence_93" displayName="Fence_93" ref="A106:D121" totalsRowShown="0" headerRowDxfId="471" dataDxfId="469" headerRowBorderDxfId="470" tableBorderDxfId="468" headerRowCellStyle="40% - Accent6">
  <autoFilter ref="A106:D121"/>
  <tableColumns count="4">
    <tableColumn id="1" name="Expense" dataDxfId="467"/>
    <tableColumn id="2" name="Description" dataDxfId="466"/>
    <tableColumn id="4" name="Label Name" dataDxfId="465"/>
    <tableColumn id="5" name="Amount" dataDxfId="464" dataCellStyle="40% - Accent6"/>
  </tableColumns>
  <tableStyleInfo name="TableStyleLight18" showFirstColumn="0" showLastColumn="0" showRowStripes="1" showColumnStripes="0"/>
</table>
</file>

<file path=xl/tables/table744.xml><?xml version="1.0" encoding="utf-8"?>
<table xmlns="http://schemas.openxmlformats.org/spreadsheetml/2006/main" id="744" name="Demolition_93" displayName="Demolition_93" ref="A125:D140" totalsRowShown="0" headerRowDxfId="463" dataDxfId="461" headerRowBorderDxfId="462" tableBorderDxfId="460" headerRowCellStyle="40% - Accent6">
  <autoFilter ref="A125:D140"/>
  <tableColumns count="4">
    <tableColumn id="1" name="Expense" dataDxfId="459"/>
    <tableColumn id="2" name="Description" dataDxfId="458"/>
    <tableColumn id="4" name="Label Name" dataDxfId="457"/>
    <tableColumn id="5" name="Amount" dataDxfId="456" dataCellStyle="40% - Accent6"/>
  </tableColumns>
  <tableStyleInfo name="TableStyleLight18" showFirstColumn="0" showLastColumn="0" showRowStripes="1" showColumnStripes="0"/>
</table>
</file>

<file path=xl/tables/table745.xml><?xml version="1.0" encoding="utf-8"?>
<table xmlns="http://schemas.openxmlformats.org/spreadsheetml/2006/main" id="745" name="Rehab_93" displayName="Rehab_93" ref="A144:D159" totalsRowShown="0" headerRowDxfId="455" dataDxfId="453" headerRowBorderDxfId="454" tableBorderDxfId="452" headerRowCellStyle="40% - Accent6">
  <autoFilter ref="A144:D159"/>
  <tableColumns count="4">
    <tableColumn id="1" name="Expense" dataDxfId="451"/>
    <tableColumn id="2" name="Description" dataDxfId="450"/>
    <tableColumn id="4" name="Label Name" dataDxfId="449"/>
    <tableColumn id="5" name="Amount" dataDxfId="448" dataCellStyle="40% - Accent6"/>
  </tableColumns>
  <tableStyleInfo name="TableStyleLight18" showFirstColumn="0" showLastColumn="0" showRowStripes="1" showColumnStripes="0"/>
</table>
</file>

<file path=xl/tables/table746.xml><?xml version="1.0" encoding="utf-8"?>
<table xmlns="http://schemas.openxmlformats.org/spreadsheetml/2006/main" id="746" name="Grass_94" displayName="Grass_94" ref="A11:D26" totalsRowShown="0" headerRowDxfId="447" dataDxfId="445" headerRowBorderDxfId="446" tableBorderDxfId="444" headerRowCellStyle="40% - Accent6">
  <autoFilter ref="A11:D26"/>
  <tableColumns count="4">
    <tableColumn id="1" name="Expense" dataDxfId="443"/>
    <tableColumn id="2" name="Description" dataDxfId="442"/>
    <tableColumn id="4" name="Label Name" dataDxfId="441"/>
    <tableColumn id="5" name="Amount" dataDxfId="440" dataCellStyle="20% - Accent6"/>
  </tableColumns>
  <tableStyleInfo name="TableStyleLight18" showFirstColumn="0" showLastColumn="0" showRowStripes="1" showColumnStripes="0"/>
</table>
</file>

<file path=xl/tables/table747.xml><?xml version="1.0" encoding="utf-8"?>
<table xmlns="http://schemas.openxmlformats.org/spreadsheetml/2006/main" id="747" name="Tree_94" displayName="Tree_94" ref="A30:D45" totalsRowShown="0" headerRowDxfId="439" dataDxfId="437" headerRowBorderDxfId="438" tableBorderDxfId="436" headerRowCellStyle="40% - Accent6">
  <autoFilter ref="A30:D45"/>
  <tableColumns count="4">
    <tableColumn id="1" name="Expense" dataDxfId="435"/>
    <tableColumn id="2" name="Description" dataDxfId="434"/>
    <tableColumn id="4" name="Label Name" dataDxfId="433"/>
    <tableColumn id="5" name="Amount" dataDxfId="432" dataCellStyle="40% - Accent6"/>
  </tableColumns>
  <tableStyleInfo name="TableStyleLight18" showFirstColumn="0" showLastColumn="0" showRowStripes="1" showColumnStripes="0"/>
</table>
</file>

<file path=xl/tables/table748.xml><?xml version="1.0" encoding="utf-8"?>
<table xmlns="http://schemas.openxmlformats.org/spreadsheetml/2006/main" id="748" name="Pest_94" displayName="Pest_94" ref="A49:D64" totalsRowShown="0" headerRowDxfId="431" dataDxfId="429" headerRowBorderDxfId="430" tableBorderDxfId="428" headerRowCellStyle="40% - Accent6">
  <autoFilter ref="A49:D64"/>
  <tableColumns count="4">
    <tableColumn id="1" name="Expense" dataDxfId="427"/>
    <tableColumn id="2" name="Description" dataDxfId="426"/>
    <tableColumn id="4" name="Label Name" dataDxfId="425"/>
    <tableColumn id="5" name="Amount" dataDxfId="424" dataCellStyle="40% - Accent6"/>
  </tableColumns>
  <tableStyleInfo name="TableStyleLight18" showFirstColumn="0" showLastColumn="0" showRowStripes="1" showColumnStripes="0"/>
</table>
</file>

<file path=xl/tables/table749.xml><?xml version="1.0" encoding="utf-8"?>
<table xmlns="http://schemas.openxmlformats.org/spreadsheetml/2006/main" id="749" name="Garbage_94" displayName="Garbage_94" ref="A68:D83" totalsRowShown="0" headerRowDxfId="423" dataDxfId="421" headerRowBorderDxfId="422" tableBorderDxfId="420" headerRowCellStyle="40% - Accent6">
  <autoFilter ref="A68:D83"/>
  <tableColumns count="4">
    <tableColumn id="1" name="Expense" dataDxfId="419"/>
    <tableColumn id="2" name="Description" dataDxfId="418"/>
    <tableColumn id="4" name="Label Name" dataDxfId="417"/>
    <tableColumn id="5" name="Amount" dataDxfId="416" dataCellStyle="20% - Accent6"/>
  </tableColumns>
  <tableStyleInfo name="TableStyleLight18" showFirstColumn="0" showLastColumn="0" showRowStripes="1" showColumnStripes="0"/>
</table>
</file>

<file path=xl/tables/table75.xml><?xml version="1.0" encoding="utf-8"?>
<table xmlns="http://schemas.openxmlformats.org/spreadsheetml/2006/main" id="140" name="Tree_10" displayName="Tree_10" ref="A30:D45" totalsRowShown="0" headerRowDxfId="5815" dataDxfId="5813" headerRowBorderDxfId="5814" tableBorderDxfId="5812" headerRowCellStyle="40% - Accent6">
  <autoFilter ref="A30:D45"/>
  <tableColumns count="4">
    <tableColumn id="1" name="Expense" dataDxfId="5811"/>
    <tableColumn id="2" name="Description" dataDxfId="5810"/>
    <tableColumn id="4" name="Label Name" dataDxfId="5809"/>
    <tableColumn id="5" name="Amount" dataDxfId="5808" dataCellStyle="40% - Accent6"/>
  </tableColumns>
  <tableStyleInfo name="TableStyleLight18" showFirstColumn="0" showLastColumn="0" showRowStripes="1" showColumnStripes="0"/>
</table>
</file>

<file path=xl/tables/table750.xml><?xml version="1.0" encoding="utf-8"?>
<table xmlns="http://schemas.openxmlformats.org/spreadsheetml/2006/main" id="750" name="Boarding_94" displayName="Boarding_94" ref="A87:D102" totalsRowShown="0" headerRowDxfId="415" dataDxfId="413" headerRowBorderDxfId="414" tableBorderDxfId="412" headerRowCellStyle="40% - Accent6">
  <autoFilter ref="A87:D102"/>
  <tableColumns count="4">
    <tableColumn id="1" name="Expense" dataDxfId="411"/>
    <tableColumn id="2" name="Description" dataDxfId="410"/>
    <tableColumn id="4" name="Label Name" dataDxfId="409"/>
    <tableColumn id="5" name="Amount" dataDxfId="408" dataCellStyle="40% - Accent6"/>
  </tableColumns>
  <tableStyleInfo name="TableStyleLight18" showFirstColumn="0" showLastColumn="0" showRowStripes="1" showColumnStripes="0"/>
</table>
</file>

<file path=xl/tables/table751.xml><?xml version="1.0" encoding="utf-8"?>
<table xmlns="http://schemas.openxmlformats.org/spreadsheetml/2006/main" id="751" name="Fence_94" displayName="Fence_94" ref="A106:D121" totalsRowShown="0" headerRowDxfId="407" dataDxfId="405" headerRowBorderDxfId="406" tableBorderDxfId="404" headerRowCellStyle="40% - Accent6">
  <autoFilter ref="A106:D121"/>
  <tableColumns count="4">
    <tableColumn id="1" name="Expense" dataDxfId="403"/>
    <tableColumn id="2" name="Description" dataDxfId="402"/>
    <tableColumn id="4" name="Label Name" dataDxfId="401"/>
    <tableColumn id="5" name="Amount" dataDxfId="400" dataCellStyle="40% - Accent6"/>
  </tableColumns>
  <tableStyleInfo name="TableStyleLight18" showFirstColumn="0" showLastColumn="0" showRowStripes="1" showColumnStripes="0"/>
</table>
</file>

<file path=xl/tables/table752.xml><?xml version="1.0" encoding="utf-8"?>
<table xmlns="http://schemas.openxmlformats.org/spreadsheetml/2006/main" id="752" name="Demolition_94" displayName="Demolition_94" ref="A125:D140" totalsRowShown="0" headerRowDxfId="399" dataDxfId="397" headerRowBorderDxfId="398" tableBorderDxfId="396" headerRowCellStyle="40% - Accent6">
  <autoFilter ref="A125:D140"/>
  <tableColumns count="4">
    <tableColumn id="1" name="Expense" dataDxfId="395"/>
    <tableColumn id="2" name="Description" dataDxfId="394"/>
    <tableColumn id="4" name="Label Name" dataDxfId="393"/>
    <tableColumn id="5" name="Amount" dataDxfId="392" dataCellStyle="40% - Accent6"/>
  </tableColumns>
  <tableStyleInfo name="TableStyleLight18" showFirstColumn="0" showLastColumn="0" showRowStripes="1" showColumnStripes="0"/>
</table>
</file>

<file path=xl/tables/table753.xml><?xml version="1.0" encoding="utf-8"?>
<table xmlns="http://schemas.openxmlformats.org/spreadsheetml/2006/main" id="753" name="Rehab_94" displayName="Rehab_94" ref="A144:D159" totalsRowShown="0" headerRowDxfId="391" dataDxfId="389" headerRowBorderDxfId="390" tableBorderDxfId="388" headerRowCellStyle="40% - Accent6">
  <autoFilter ref="A144:D159"/>
  <tableColumns count="4">
    <tableColumn id="1" name="Expense" dataDxfId="387"/>
    <tableColumn id="2" name="Description" dataDxfId="386"/>
    <tableColumn id="4" name="Label Name" dataDxfId="385"/>
    <tableColumn id="5" name="Amount" dataDxfId="384" dataCellStyle="40% - Accent6"/>
  </tableColumns>
  <tableStyleInfo name="TableStyleLight18" showFirstColumn="0" showLastColumn="0" showRowStripes="1" showColumnStripes="0"/>
</table>
</file>

<file path=xl/tables/table754.xml><?xml version="1.0" encoding="utf-8"?>
<table xmlns="http://schemas.openxmlformats.org/spreadsheetml/2006/main" id="754" name="Grass_95" displayName="Grass_95" ref="A11:D26" totalsRowShown="0" headerRowDxfId="383" dataDxfId="381" headerRowBorderDxfId="382" tableBorderDxfId="380" headerRowCellStyle="40% - Accent6">
  <autoFilter ref="A11:D26"/>
  <tableColumns count="4">
    <tableColumn id="1" name="Expense" dataDxfId="379"/>
    <tableColumn id="2" name="Description" dataDxfId="378"/>
    <tableColumn id="4" name="Label Name" dataDxfId="377"/>
    <tableColumn id="5" name="Amount" dataDxfId="376" dataCellStyle="20% - Accent6"/>
  </tableColumns>
  <tableStyleInfo name="TableStyleLight18" showFirstColumn="0" showLastColumn="0" showRowStripes="1" showColumnStripes="0"/>
</table>
</file>

<file path=xl/tables/table755.xml><?xml version="1.0" encoding="utf-8"?>
<table xmlns="http://schemas.openxmlformats.org/spreadsheetml/2006/main" id="755" name="Tree_95" displayName="Tree_95" ref="A30:D45" totalsRowShown="0" headerRowDxfId="375" dataDxfId="373" headerRowBorderDxfId="374" tableBorderDxfId="372" headerRowCellStyle="40% - Accent6">
  <autoFilter ref="A30:D45"/>
  <tableColumns count="4">
    <tableColumn id="1" name="Expense" dataDxfId="371"/>
    <tableColumn id="2" name="Description" dataDxfId="370"/>
    <tableColumn id="4" name="Label Name" dataDxfId="369"/>
    <tableColumn id="5" name="Amount" dataDxfId="368" dataCellStyle="40% - Accent6"/>
  </tableColumns>
  <tableStyleInfo name="TableStyleLight18" showFirstColumn="0" showLastColumn="0" showRowStripes="1" showColumnStripes="0"/>
</table>
</file>

<file path=xl/tables/table756.xml><?xml version="1.0" encoding="utf-8"?>
<table xmlns="http://schemas.openxmlformats.org/spreadsheetml/2006/main" id="756" name="Pest_95" displayName="Pest_95" ref="A49:D64" totalsRowShown="0" headerRowDxfId="367" dataDxfId="365" headerRowBorderDxfId="366" tableBorderDxfId="364" headerRowCellStyle="40% - Accent6">
  <autoFilter ref="A49:D64"/>
  <tableColumns count="4">
    <tableColumn id="1" name="Expense" dataDxfId="363"/>
    <tableColumn id="2" name="Description" dataDxfId="362"/>
    <tableColumn id="4" name="Label Name" dataDxfId="361"/>
    <tableColumn id="5" name="Amount" dataDxfId="360" dataCellStyle="40% - Accent6"/>
  </tableColumns>
  <tableStyleInfo name="TableStyleLight18" showFirstColumn="0" showLastColumn="0" showRowStripes="1" showColumnStripes="0"/>
</table>
</file>

<file path=xl/tables/table757.xml><?xml version="1.0" encoding="utf-8"?>
<table xmlns="http://schemas.openxmlformats.org/spreadsheetml/2006/main" id="757" name="Garbage_95" displayName="Garbage_95" ref="A68:D83" totalsRowShown="0" headerRowDxfId="359" dataDxfId="357" headerRowBorderDxfId="358" tableBorderDxfId="356" headerRowCellStyle="40% - Accent6">
  <autoFilter ref="A68:D83"/>
  <tableColumns count="4">
    <tableColumn id="1" name="Expense" dataDxfId="355"/>
    <tableColumn id="2" name="Description" dataDxfId="354"/>
    <tableColumn id="4" name="Label Name" dataDxfId="353"/>
    <tableColumn id="5" name="Amount" dataDxfId="352" dataCellStyle="20% - Accent6"/>
  </tableColumns>
  <tableStyleInfo name="TableStyleLight18" showFirstColumn="0" showLastColumn="0" showRowStripes="1" showColumnStripes="0"/>
</table>
</file>

<file path=xl/tables/table758.xml><?xml version="1.0" encoding="utf-8"?>
<table xmlns="http://schemas.openxmlformats.org/spreadsheetml/2006/main" id="758" name="Boarding_95" displayName="Boarding_95" ref="A87:D102" totalsRowShown="0" headerRowDxfId="351" dataDxfId="349" headerRowBorderDxfId="350" tableBorderDxfId="348" headerRowCellStyle="40% - Accent6">
  <autoFilter ref="A87:D102"/>
  <tableColumns count="4">
    <tableColumn id="1" name="Expense" dataDxfId="347"/>
    <tableColumn id="2" name="Description" dataDxfId="346"/>
    <tableColumn id="4" name="Label Name" dataDxfId="345"/>
    <tableColumn id="5" name="Amount" dataDxfId="344" dataCellStyle="40% - Accent6"/>
  </tableColumns>
  <tableStyleInfo name="TableStyleLight18" showFirstColumn="0" showLastColumn="0" showRowStripes="1" showColumnStripes="0"/>
</table>
</file>

<file path=xl/tables/table759.xml><?xml version="1.0" encoding="utf-8"?>
<table xmlns="http://schemas.openxmlformats.org/spreadsheetml/2006/main" id="759" name="Fence_95" displayName="Fence_95" ref="A106:D121" totalsRowShown="0" headerRowDxfId="343" dataDxfId="341" headerRowBorderDxfId="342" tableBorderDxfId="340" headerRowCellStyle="40% - Accent6">
  <autoFilter ref="A106:D121"/>
  <tableColumns count="4">
    <tableColumn id="1" name="Expense" dataDxfId="339"/>
    <tableColumn id="2" name="Description" dataDxfId="338"/>
    <tableColumn id="4" name="Label Name" dataDxfId="337"/>
    <tableColumn id="5" name="Amount" dataDxfId="336" dataCellStyle="40% - Accent6"/>
  </tableColumns>
  <tableStyleInfo name="TableStyleLight18" showFirstColumn="0" showLastColumn="0" showRowStripes="1" showColumnStripes="0"/>
</table>
</file>

<file path=xl/tables/table76.xml><?xml version="1.0" encoding="utf-8"?>
<table xmlns="http://schemas.openxmlformats.org/spreadsheetml/2006/main" id="141" name="Pest_10" displayName="Pest_10" ref="A49:D64" totalsRowShown="0" headerRowDxfId="5807" dataDxfId="5805" headerRowBorderDxfId="5806" tableBorderDxfId="5804" headerRowCellStyle="40% - Accent6">
  <autoFilter ref="A49:D64"/>
  <tableColumns count="4">
    <tableColumn id="1" name="Expense" dataDxfId="5803"/>
    <tableColumn id="2" name="Description" dataDxfId="5802"/>
    <tableColumn id="4" name="Label Name" dataDxfId="5801"/>
    <tableColumn id="5" name="Amount" dataDxfId="5800" dataCellStyle="40% - Accent6"/>
  </tableColumns>
  <tableStyleInfo name="TableStyleLight18" showFirstColumn="0" showLastColumn="0" showRowStripes="1" showColumnStripes="0"/>
</table>
</file>

<file path=xl/tables/table760.xml><?xml version="1.0" encoding="utf-8"?>
<table xmlns="http://schemas.openxmlformats.org/spreadsheetml/2006/main" id="760" name="Demolition_95" displayName="Demolition_95" ref="A125:D140" totalsRowShown="0" headerRowDxfId="335" dataDxfId="333" headerRowBorderDxfId="334" tableBorderDxfId="332" headerRowCellStyle="40% - Accent6">
  <autoFilter ref="A125:D140"/>
  <tableColumns count="4">
    <tableColumn id="1" name="Expense" dataDxfId="331"/>
    <tableColumn id="2" name="Description" dataDxfId="330"/>
    <tableColumn id="4" name="Label Name" dataDxfId="329"/>
    <tableColumn id="5" name="Amount" dataDxfId="328" dataCellStyle="40% - Accent6"/>
  </tableColumns>
  <tableStyleInfo name="TableStyleLight18" showFirstColumn="0" showLastColumn="0" showRowStripes="1" showColumnStripes="0"/>
</table>
</file>

<file path=xl/tables/table761.xml><?xml version="1.0" encoding="utf-8"?>
<table xmlns="http://schemas.openxmlformats.org/spreadsheetml/2006/main" id="761" name="Rehab_95" displayName="Rehab_95" ref="A144:D159" totalsRowShown="0" headerRowDxfId="327" dataDxfId="325" headerRowBorderDxfId="326" tableBorderDxfId="324" headerRowCellStyle="40% - Accent6">
  <autoFilter ref="A144:D159"/>
  <tableColumns count="4">
    <tableColumn id="1" name="Expense" dataDxfId="323"/>
    <tableColumn id="2" name="Description" dataDxfId="322"/>
    <tableColumn id="4" name="Label Name" dataDxfId="321"/>
    <tableColumn id="5" name="Amount" dataDxfId="320" dataCellStyle="40% - Accent6"/>
  </tableColumns>
  <tableStyleInfo name="TableStyleLight18" showFirstColumn="0" showLastColumn="0" showRowStripes="1" showColumnStripes="0"/>
</table>
</file>

<file path=xl/tables/table762.xml><?xml version="1.0" encoding="utf-8"?>
<table xmlns="http://schemas.openxmlformats.org/spreadsheetml/2006/main" id="762" name="Grass_96" displayName="Grass_96" ref="A11:D26" totalsRowShown="0" headerRowDxfId="319" dataDxfId="317" headerRowBorderDxfId="318" tableBorderDxfId="316" headerRowCellStyle="40% - Accent6">
  <autoFilter ref="A11:D26"/>
  <tableColumns count="4">
    <tableColumn id="1" name="Expense" dataDxfId="315"/>
    <tableColumn id="2" name="Description" dataDxfId="314"/>
    <tableColumn id="4" name="Label Name" dataDxfId="313"/>
    <tableColumn id="5" name="Amount" dataDxfId="312" dataCellStyle="20% - Accent6"/>
  </tableColumns>
  <tableStyleInfo name="TableStyleLight18" showFirstColumn="0" showLastColumn="0" showRowStripes="1" showColumnStripes="0"/>
</table>
</file>

<file path=xl/tables/table763.xml><?xml version="1.0" encoding="utf-8"?>
<table xmlns="http://schemas.openxmlformats.org/spreadsheetml/2006/main" id="763" name="Tree_96" displayName="Tree_96" ref="A30:D45" totalsRowShown="0" headerRowDxfId="311" dataDxfId="309" headerRowBorderDxfId="310" tableBorderDxfId="308" headerRowCellStyle="40% - Accent6">
  <autoFilter ref="A30:D45"/>
  <tableColumns count="4">
    <tableColumn id="1" name="Expense" dataDxfId="307"/>
    <tableColumn id="2" name="Description" dataDxfId="306"/>
    <tableColumn id="4" name="Label Name" dataDxfId="305"/>
    <tableColumn id="5" name="Amount" dataDxfId="304" dataCellStyle="40% - Accent6"/>
  </tableColumns>
  <tableStyleInfo name="TableStyleLight18" showFirstColumn="0" showLastColumn="0" showRowStripes="1" showColumnStripes="0"/>
</table>
</file>

<file path=xl/tables/table764.xml><?xml version="1.0" encoding="utf-8"?>
<table xmlns="http://schemas.openxmlformats.org/spreadsheetml/2006/main" id="764" name="Pest_96" displayName="Pest_96" ref="A49:D64" totalsRowShown="0" headerRowDxfId="303" dataDxfId="301" headerRowBorderDxfId="302" tableBorderDxfId="300" headerRowCellStyle="40% - Accent6">
  <autoFilter ref="A49:D64"/>
  <tableColumns count="4">
    <tableColumn id="1" name="Expense" dataDxfId="299"/>
    <tableColumn id="2" name="Description" dataDxfId="298"/>
    <tableColumn id="4" name="Label Name" dataDxfId="297"/>
    <tableColumn id="5" name="Amount" dataDxfId="296" dataCellStyle="40% - Accent6"/>
  </tableColumns>
  <tableStyleInfo name="TableStyleLight18" showFirstColumn="0" showLastColumn="0" showRowStripes="1" showColumnStripes="0"/>
</table>
</file>

<file path=xl/tables/table765.xml><?xml version="1.0" encoding="utf-8"?>
<table xmlns="http://schemas.openxmlformats.org/spreadsheetml/2006/main" id="765" name="Garbage_96" displayName="Garbage_96" ref="A68:D83" totalsRowShown="0" headerRowDxfId="295" dataDxfId="293" headerRowBorderDxfId="294" tableBorderDxfId="292" headerRowCellStyle="40% - Accent6">
  <autoFilter ref="A68:D83"/>
  <tableColumns count="4">
    <tableColumn id="1" name="Expense" dataDxfId="291"/>
    <tableColumn id="2" name="Description" dataDxfId="290"/>
    <tableColumn id="4" name="Label Name" dataDxfId="289"/>
    <tableColumn id="5" name="Amount" dataDxfId="288" dataCellStyle="20% - Accent6"/>
  </tableColumns>
  <tableStyleInfo name="TableStyleLight18" showFirstColumn="0" showLastColumn="0" showRowStripes="1" showColumnStripes="0"/>
</table>
</file>

<file path=xl/tables/table766.xml><?xml version="1.0" encoding="utf-8"?>
<table xmlns="http://schemas.openxmlformats.org/spreadsheetml/2006/main" id="766" name="Boarding_96" displayName="Boarding_96" ref="A87:D102" totalsRowShown="0" headerRowDxfId="287" dataDxfId="285" headerRowBorderDxfId="286" tableBorderDxfId="284" headerRowCellStyle="40% - Accent6">
  <autoFilter ref="A87:D102"/>
  <tableColumns count="4">
    <tableColumn id="1" name="Expense" dataDxfId="283"/>
    <tableColumn id="2" name="Description" dataDxfId="282"/>
    <tableColumn id="4" name="Label Name" dataDxfId="281"/>
    <tableColumn id="5" name="Amount" dataDxfId="280" dataCellStyle="40% - Accent6"/>
  </tableColumns>
  <tableStyleInfo name="TableStyleLight18" showFirstColumn="0" showLastColumn="0" showRowStripes="1" showColumnStripes="0"/>
</table>
</file>

<file path=xl/tables/table767.xml><?xml version="1.0" encoding="utf-8"?>
<table xmlns="http://schemas.openxmlformats.org/spreadsheetml/2006/main" id="767" name="Fence_96" displayName="Fence_96" ref="A106:D121" totalsRowShown="0" headerRowDxfId="279" dataDxfId="277" headerRowBorderDxfId="278" tableBorderDxfId="276" headerRowCellStyle="40% - Accent6">
  <autoFilter ref="A106:D121"/>
  <tableColumns count="4">
    <tableColumn id="1" name="Expense" dataDxfId="275"/>
    <tableColumn id="2" name="Description" dataDxfId="274"/>
    <tableColumn id="4" name="Label Name" dataDxfId="273"/>
    <tableColumn id="5" name="Amount" dataDxfId="272" dataCellStyle="40% - Accent6"/>
  </tableColumns>
  <tableStyleInfo name="TableStyleLight18" showFirstColumn="0" showLastColumn="0" showRowStripes="1" showColumnStripes="0"/>
</table>
</file>

<file path=xl/tables/table768.xml><?xml version="1.0" encoding="utf-8"?>
<table xmlns="http://schemas.openxmlformats.org/spreadsheetml/2006/main" id="768" name="Demolition_96" displayName="Demolition_96" ref="A125:D140" totalsRowShown="0" headerRowDxfId="271" dataDxfId="269" headerRowBorderDxfId="270" tableBorderDxfId="268" headerRowCellStyle="40% - Accent6">
  <autoFilter ref="A125:D140"/>
  <tableColumns count="4">
    <tableColumn id="1" name="Expense" dataDxfId="267"/>
    <tableColumn id="2" name="Description" dataDxfId="266"/>
    <tableColumn id="4" name="Label Name" dataDxfId="265"/>
    <tableColumn id="5" name="Amount" dataDxfId="264" dataCellStyle="40% - Accent6"/>
  </tableColumns>
  <tableStyleInfo name="TableStyleLight18" showFirstColumn="0" showLastColumn="0" showRowStripes="1" showColumnStripes="0"/>
</table>
</file>

<file path=xl/tables/table769.xml><?xml version="1.0" encoding="utf-8"?>
<table xmlns="http://schemas.openxmlformats.org/spreadsheetml/2006/main" id="769" name="Rehab_96" displayName="Rehab_96" ref="A144:D159" totalsRowShown="0" headerRowDxfId="263" dataDxfId="261" headerRowBorderDxfId="262" tableBorderDxfId="260" headerRowCellStyle="40% - Accent6">
  <autoFilter ref="A144:D159"/>
  <tableColumns count="4">
    <tableColumn id="1" name="Expense" dataDxfId="259"/>
    <tableColumn id="2" name="Description" dataDxfId="258"/>
    <tableColumn id="4" name="Label Name" dataDxfId="257"/>
    <tableColumn id="5" name="Amount" dataDxfId="256" dataCellStyle="40% - Accent6"/>
  </tableColumns>
  <tableStyleInfo name="TableStyleLight18" showFirstColumn="0" showLastColumn="0" showRowStripes="1" showColumnStripes="0"/>
</table>
</file>

<file path=xl/tables/table77.xml><?xml version="1.0" encoding="utf-8"?>
<table xmlns="http://schemas.openxmlformats.org/spreadsheetml/2006/main" id="142" name="Garbage_10" displayName="Garbage_10" ref="A68:D83" totalsRowShown="0" headerRowDxfId="5799" dataDxfId="5797" headerRowBorderDxfId="5798" tableBorderDxfId="5796" headerRowCellStyle="40% - Accent6">
  <autoFilter ref="A68:D83"/>
  <tableColumns count="4">
    <tableColumn id="1" name="Expense" dataDxfId="5795"/>
    <tableColumn id="2" name="Description" dataDxfId="5794"/>
    <tableColumn id="4" name="Label Name" dataDxfId="5793"/>
    <tableColumn id="5" name="Amount" dataDxfId="5792" dataCellStyle="20% - Accent6"/>
  </tableColumns>
  <tableStyleInfo name="TableStyleLight18" showFirstColumn="0" showLastColumn="0" showRowStripes="1" showColumnStripes="0"/>
</table>
</file>

<file path=xl/tables/table770.xml><?xml version="1.0" encoding="utf-8"?>
<table xmlns="http://schemas.openxmlformats.org/spreadsheetml/2006/main" id="770" name="Grass_97" displayName="Grass_97" ref="A11:D26" totalsRowShown="0" headerRowDxfId="255" dataDxfId="253" headerRowBorderDxfId="254" tableBorderDxfId="252" headerRowCellStyle="40% - Accent6">
  <autoFilter ref="A11:D26"/>
  <tableColumns count="4">
    <tableColumn id="1" name="Expense" dataDxfId="251"/>
    <tableColumn id="2" name="Description" dataDxfId="250"/>
    <tableColumn id="4" name="Label Name" dataDxfId="249"/>
    <tableColumn id="5" name="Amount" dataDxfId="248" dataCellStyle="20% - Accent6"/>
  </tableColumns>
  <tableStyleInfo name="TableStyleLight18" showFirstColumn="0" showLastColumn="0" showRowStripes="1" showColumnStripes="0"/>
</table>
</file>

<file path=xl/tables/table771.xml><?xml version="1.0" encoding="utf-8"?>
<table xmlns="http://schemas.openxmlformats.org/spreadsheetml/2006/main" id="771" name="Tree_97" displayName="Tree_97" ref="A30:D45" totalsRowShown="0" headerRowDxfId="247" dataDxfId="245" headerRowBorderDxfId="246" tableBorderDxfId="244" headerRowCellStyle="40% - Accent6">
  <autoFilter ref="A30:D45"/>
  <tableColumns count="4">
    <tableColumn id="1" name="Expense" dataDxfId="243"/>
    <tableColumn id="2" name="Description" dataDxfId="242"/>
    <tableColumn id="4" name="Label Name" dataDxfId="241"/>
    <tableColumn id="5" name="Amount" dataDxfId="240" dataCellStyle="40% - Accent6"/>
  </tableColumns>
  <tableStyleInfo name="TableStyleLight18" showFirstColumn="0" showLastColumn="0" showRowStripes="1" showColumnStripes="0"/>
</table>
</file>

<file path=xl/tables/table772.xml><?xml version="1.0" encoding="utf-8"?>
<table xmlns="http://schemas.openxmlformats.org/spreadsheetml/2006/main" id="772" name="Pest_97" displayName="Pest_97" ref="A49:D64" totalsRowShown="0" headerRowDxfId="239" dataDxfId="237" headerRowBorderDxfId="238" tableBorderDxfId="236" headerRowCellStyle="40% - Accent6">
  <autoFilter ref="A49:D64"/>
  <tableColumns count="4">
    <tableColumn id="1" name="Expense" dataDxfId="235"/>
    <tableColumn id="2" name="Description" dataDxfId="234"/>
    <tableColumn id="4" name="Label Name" dataDxfId="233"/>
    <tableColumn id="5" name="Amount" dataDxfId="232" dataCellStyle="40% - Accent6"/>
  </tableColumns>
  <tableStyleInfo name="TableStyleLight18" showFirstColumn="0" showLastColumn="0" showRowStripes="1" showColumnStripes="0"/>
</table>
</file>

<file path=xl/tables/table773.xml><?xml version="1.0" encoding="utf-8"?>
<table xmlns="http://schemas.openxmlformats.org/spreadsheetml/2006/main" id="773" name="Garbage_97" displayName="Garbage_97" ref="A68:D83" totalsRowShown="0" headerRowDxfId="231" dataDxfId="229" headerRowBorderDxfId="230" tableBorderDxfId="228" headerRowCellStyle="40% - Accent6">
  <autoFilter ref="A68:D83"/>
  <tableColumns count="4">
    <tableColumn id="1" name="Expense" dataDxfId="227"/>
    <tableColumn id="2" name="Description" dataDxfId="226"/>
    <tableColumn id="4" name="Label Name" dataDxfId="225"/>
    <tableColumn id="5" name="Amount" dataDxfId="224" dataCellStyle="20% - Accent6"/>
  </tableColumns>
  <tableStyleInfo name="TableStyleLight18" showFirstColumn="0" showLastColumn="0" showRowStripes="1" showColumnStripes="0"/>
</table>
</file>

<file path=xl/tables/table774.xml><?xml version="1.0" encoding="utf-8"?>
<table xmlns="http://schemas.openxmlformats.org/spreadsheetml/2006/main" id="774" name="Boarding_97" displayName="Boarding_97" ref="A87:D102" totalsRowShown="0" headerRowDxfId="223" dataDxfId="221" headerRowBorderDxfId="222" tableBorderDxfId="220" headerRowCellStyle="40% - Accent6">
  <autoFilter ref="A87:D102"/>
  <tableColumns count="4">
    <tableColumn id="1" name="Expense" dataDxfId="219"/>
    <tableColumn id="2" name="Description" dataDxfId="218"/>
    <tableColumn id="4" name="Label Name" dataDxfId="217"/>
    <tableColumn id="5" name="Amount" dataDxfId="216" dataCellStyle="40% - Accent6"/>
  </tableColumns>
  <tableStyleInfo name="TableStyleLight18" showFirstColumn="0" showLastColumn="0" showRowStripes="1" showColumnStripes="0"/>
</table>
</file>

<file path=xl/tables/table775.xml><?xml version="1.0" encoding="utf-8"?>
<table xmlns="http://schemas.openxmlformats.org/spreadsheetml/2006/main" id="775" name="Fence_97" displayName="Fence_97" ref="A106:D121" totalsRowShown="0" headerRowDxfId="215" dataDxfId="213" headerRowBorderDxfId="214" tableBorderDxfId="212" headerRowCellStyle="40% - Accent6">
  <autoFilter ref="A106:D121"/>
  <tableColumns count="4">
    <tableColumn id="1" name="Expense" dataDxfId="211"/>
    <tableColumn id="2" name="Description" dataDxfId="210"/>
    <tableColumn id="4" name="Label Name" dataDxfId="209"/>
    <tableColumn id="5" name="Amount" dataDxfId="208" dataCellStyle="40% - Accent6"/>
  </tableColumns>
  <tableStyleInfo name="TableStyleLight18" showFirstColumn="0" showLastColumn="0" showRowStripes="1" showColumnStripes="0"/>
</table>
</file>

<file path=xl/tables/table776.xml><?xml version="1.0" encoding="utf-8"?>
<table xmlns="http://schemas.openxmlformats.org/spreadsheetml/2006/main" id="776" name="Demolition_97" displayName="Demolition_97" ref="A125:D140" totalsRowShown="0" headerRowDxfId="207" dataDxfId="205" headerRowBorderDxfId="206" tableBorderDxfId="204" headerRowCellStyle="40% - Accent6">
  <autoFilter ref="A125:D140"/>
  <tableColumns count="4">
    <tableColumn id="1" name="Expense" dataDxfId="203"/>
    <tableColumn id="2" name="Description" dataDxfId="202"/>
    <tableColumn id="4" name="Label Name" dataDxfId="201"/>
    <tableColumn id="5" name="Amount" dataDxfId="200" dataCellStyle="40% - Accent6"/>
  </tableColumns>
  <tableStyleInfo name="TableStyleLight18" showFirstColumn="0" showLastColumn="0" showRowStripes="1" showColumnStripes="0"/>
</table>
</file>

<file path=xl/tables/table777.xml><?xml version="1.0" encoding="utf-8"?>
<table xmlns="http://schemas.openxmlformats.org/spreadsheetml/2006/main" id="777" name="Rehab_97" displayName="Rehab_97" ref="A144:D159" totalsRowShown="0" headerRowDxfId="199" dataDxfId="197" headerRowBorderDxfId="198" tableBorderDxfId="196" headerRowCellStyle="40% - Accent6">
  <autoFilter ref="A144:D159"/>
  <tableColumns count="4">
    <tableColumn id="1" name="Expense" dataDxfId="195"/>
    <tableColumn id="2" name="Description" dataDxfId="194"/>
    <tableColumn id="4" name="Label Name" dataDxfId="193"/>
    <tableColumn id="5" name="Amount" dataDxfId="192" dataCellStyle="40% - Accent6"/>
  </tableColumns>
  <tableStyleInfo name="TableStyleLight18" showFirstColumn="0" showLastColumn="0" showRowStripes="1" showColumnStripes="0"/>
</table>
</file>

<file path=xl/tables/table778.xml><?xml version="1.0" encoding="utf-8"?>
<table xmlns="http://schemas.openxmlformats.org/spreadsheetml/2006/main" id="786" name="Grass_98" displayName="Grass_98" ref="A11:D26" totalsRowShown="0" headerRowDxfId="191" dataDxfId="189" headerRowBorderDxfId="190" tableBorderDxfId="188" headerRowCellStyle="40% - Accent6">
  <autoFilter ref="A11:D26"/>
  <tableColumns count="4">
    <tableColumn id="1" name="Expense" dataDxfId="187"/>
    <tableColumn id="2" name="Description" dataDxfId="186"/>
    <tableColumn id="4" name="Label Name" dataDxfId="185"/>
    <tableColumn id="5" name="Amount" dataDxfId="184" dataCellStyle="20% - Accent6"/>
  </tableColumns>
  <tableStyleInfo name="TableStyleLight18" showFirstColumn="0" showLastColumn="0" showRowStripes="1" showColumnStripes="0"/>
</table>
</file>

<file path=xl/tables/table779.xml><?xml version="1.0" encoding="utf-8"?>
<table xmlns="http://schemas.openxmlformats.org/spreadsheetml/2006/main" id="787" name="Tree_98" displayName="Tree_98" ref="A30:D45" totalsRowShown="0" headerRowDxfId="183" dataDxfId="181" headerRowBorderDxfId="182" tableBorderDxfId="180" headerRowCellStyle="40% - Accent6">
  <autoFilter ref="A30:D45"/>
  <tableColumns count="4">
    <tableColumn id="1" name="Expense" dataDxfId="179"/>
    <tableColumn id="2" name="Description" dataDxfId="178"/>
    <tableColumn id="4" name="Label Name" dataDxfId="177"/>
    <tableColumn id="5" name="Amount" dataDxfId="176" dataCellStyle="40% - Accent6"/>
  </tableColumns>
  <tableStyleInfo name="TableStyleLight18" showFirstColumn="0" showLastColumn="0" showRowStripes="1" showColumnStripes="0"/>
</table>
</file>

<file path=xl/tables/table78.xml><?xml version="1.0" encoding="utf-8"?>
<table xmlns="http://schemas.openxmlformats.org/spreadsheetml/2006/main" id="143" name="Boarding_10" displayName="Boarding_10" ref="A87:D102" totalsRowShown="0" headerRowDxfId="5791" dataDxfId="5789" headerRowBorderDxfId="5790" tableBorderDxfId="5788" headerRowCellStyle="40% - Accent6">
  <autoFilter ref="A87:D102"/>
  <tableColumns count="4">
    <tableColumn id="1" name="Expense" dataDxfId="5787"/>
    <tableColumn id="2" name="Description" dataDxfId="5786"/>
    <tableColumn id="4" name="Label Name" dataDxfId="5785"/>
    <tableColumn id="5" name="Amount" dataDxfId="5784" dataCellStyle="40% - Accent6"/>
  </tableColumns>
  <tableStyleInfo name="TableStyleLight18" showFirstColumn="0" showLastColumn="0" showRowStripes="1" showColumnStripes="0"/>
</table>
</file>

<file path=xl/tables/table780.xml><?xml version="1.0" encoding="utf-8"?>
<table xmlns="http://schemas.openxmlformats.org/spreadsheetml/2006/main" id="788" name="Pest_98" displayName="Pest_98" ref="A49:D64" totalsRowShown="0" headerRowDxfId="175" dataDxfId="173" headerRowBorderDxfId="174" tableBorderDxfId="172" headerRowCellStyle="40% - Accent6">
  <autoFilter ref="A49:D64"/>
  <tableColumns count="4">
    <tableColumn id="1" name="Expense" dataDxfId="171"/>
    <tableColumn id="2" name="Description" dataDxfId="170"/>
    <tableColumn id="4" name="Label Name" dataDxfId="169"/>
    <tableColumn id="5" name="Amount" dataDxfId="168" dataCellStyle="40% - Accent6"/>
  </tableColumns>
  <tableStyleInfo name="TableStyleLight18" showFirstColumn="0" showLastColumn="0" showRowStripes="1" showColumnStripes="0"/>
</table>
</file>

<file path=xl/tables/table781.xml><?xml version="1.0" encoding="utf-8"?>
<table xmlns="http://schemas.openxmlformats.org/spreadsheetml/2006/main" id="789" name="Garbage_98" displayName="Garbage_98" ref="A68:D83" totalsRowShown="0" headerRowDxfId="167" dataDxfId="165" headerRowBorderDxfId="166" tableBorderDxfId="164" headerRowCellStyle="40% - Accent6">
  <autoFilter ref="A68:D83"/>
  <tableColumns count="4">
    <tableColumn id="1" name="Expense" dataDxfId="163"/>
    <tableColumn id="2" name="Description" dataDxfId="162"/>
    <tableColumn id="4" name="Label Name" dataDxfId="161"/>
    <tableColumn id="5" name="Amount" dataDxfId="160" dataCellStyle="20% - Accent6"/>
  </tableColumns>
  <tableStyleInfo name="TableStyleLight18" showFirstColumn="0" showLastColumn="0" showRowStripes="1" showColumnStripes="0"/>
</table>
</file>

<file path=xl/tables/table782.xml><?xml version="1.0" encoding="utf-8"?>
<table xmlns="http://schemas.openxmlformats.org/spreadsheetml/2006/main" id="790" name="Boarding_98" displayName="Boarding_98" ref="A87:D102" totalsRowShown="0" headerRowDxfId="159" dataDxfId="157" headerRowBorderDxfId="158" tableBorderDxfId="156" headerRowCellStyle="40% - Accent6">
  <autoFilter ref="A87:D102"/>
  <tableColumns count="4">
    <tableColumn id="1" name="Expense" dataDxfId="155"/>
    <tableColumn id="2" name="Description" dataDxfId="154"/>
    <tableColumn id="4" name="Label Name" dataDxfId="153"/>
    <tableColumn id="5" name="Amount" dataDxfId="152" dataCellStyle="40% - Accent6"/>
  </tableColumns>
  <tableStyleInfo name="TableStyleLight18" showFirstColumn="0" showLastColumn="0" showRowStripes="1" showColumnStripes="0"/>
</table>
</file>

<file path=xl/tables/table783.xml><?xml version="1.0" encoding="utf-8"?>
<table xmlns="http://schemas.openxmlformats.org/spreadsheetml/2006/main" id="791" name="Fence_98" displayName="Fence_98" ref="A106:D121" totalsRowShown="0" headerRowDxfId="151" dataDxfId="149" headerRowBorderDxfId="150" tableBorderDxfId="148" headerRowCellStyle="40% - Accent6">
  <autoFilter ref="A106:D121"/>
  <tableColumns count="4">
    <tableColumn id="1" name="Expense" dataDxfId="147"/>
    <tableColumn id="2" name="Description" dataDxfId="146"/>
    <tableColumn id="4" name="Label Name" dataDxfId="145"/>
    <tableColumn id="5" name="Amount" dataDxfId="144" dataCellStyle="40% - Accent6"/>
  </tableColumns>
  <tableStyleInfo name="TableStyleLight18" showFirstColumn="0" showLastColumn="0" showRowStripes="1" showColumnStripes="0"/>
</table>
</file>

<file path=xl/tables/table784.xml><?xml version="1.0" encoding="utf-8"?>
<table xmlns="http://schemas.openxmlformats.org/spreadsheetml/2006/main" id="792" name="Demolition_98" displayName="Demolition_98" ref="A125:D140" totalsRowShown="0" headerRowDxfId="143" dataDxfId="141" headerRowBorderDxfId="142" tableBorderDxfId="140" headerRowCellStyle="40% - Accent6">
  <autoFilter ref="A125:D140"/>
  <tableColumns count="4">
    <tableColumn id="1" name="Expense" dataDxfId="139"/>
    <tableColumn id="2" name="Description" dataDxfId="138"/>
    <tableColumn id="4" name="Label Name" dataDxfId="137"/>
    <tableColumn id="5" name="Amount" dataDxfId="136" dataCellStyle="40% - Accent6"/>
  </tableColumns>
  <tableStyleInfo name="TableStyleLight18" showFirstColumn="0" showLastColumn="0" showRowStripes="1" showColumnStripes="0"/>
</table>
</file>

<file path=xl/tables/table785.xml><?xml version="1.0" encoding="utf-8"?>
<table xmlns="http://schemas.openxmlformats.org/spreadsheetml/2006/main" id="793" name="Rehab_98" displayName="Rehab_98" ref="A144:D159" totalsRowShown="0" headerRowDxfId="135" dataDxfId="133" headerRowBorderDxfId="134" tableBorderDxfId="132" headerRowCellStyle="40% - Accent6">
  <autoFilter ref="A144:D159"/>
  <tableColumns count="4">
    <tableColumn id="1" name="Expense" dataDxfId="131"/>
    <tableColumn id="2" name="Description" dataDxfId="130"/>
    <tableColumn id="4" name="Label Name" dataDxfId="129"/>
    <tableColumn id="5" name="Amount" dataDxfId="128" dataCellStyle="40% - Accent6"/>
  </tableColumns>
  <tableStyleInfo name="TableStyleLight18" showFirstColumn="0" showLastColumn="0" showRowStripes="1" showColumnStripes="0"/>
</table>
</file>

<file path=xl/tables/table786.xml><?xml version="1.0" encoding="utf-8"?>
<table xmlns="http://schemas.openxmlformats.org/spreadsheetml/2006/main" id="794" name="Grass_99" displayName="Grass_99" ref="A11:D26" totalsRowShown="0" headerRowDxfId="127" dataDxfId="125" headerRowBorderDxfId="126" tableBorderDxfId="124" headerRowCellStyle="40% - Accent6">
  <autoFilter ref="A11:D26"/>
  <tableColumns count="4">
    <tableColumn id="1" name="Expense" dataDxfId="123"/>
    <tableColumn id="2" name="Description" dataDxfId="122"/>
    <tableColumn id="4" name="Label Name" dataDxfId="121"/>
    <tableColumn id="5" name="Amount" dataDxfId="120" dataCellStyle="20% - Accent6"/>
  </tableColumns>
  <tableStyleInfo name="TableStyleLight18" showFirstColumn="0" showLastColumn="0" showRowStripes="1" showColumnStripes="0"/>
</table>
</file>

<file path=xl/tables/table787.xml><?xml version="1.0" encoding="utf-8"?>
<table xmlns="http://schemas.openxmlformats.org/spreadsheetml/2006/main" id="795" name="Tree_99" displayName="Tree_99" ref="A30:D45" totalsRowShown="0" headerRowDxfId="119" dataDxfId="117" headerRowBorderDxfId="118" tableBorderDxfId="116" headerRowCellStyle="40% - Accent6">
  <autoFilter ref="A30:D45"/>
  <tableColumns count="4">
    <tableColumn id="1" name="Expense" dataDxfId="115"/>
    <tableColumn id="2" name="Description" dataDxfId="114"/>
    <tableColumn id="4" name="Label Name" dataDxfId="113"/>
    <tableColumn id="5" name="Amount" dataDxfId="112" dataCellStyle="40% - Accent6"/>
  </tableColumns>
  <tableStyleInfo name="TableStyleLight18" showFirstColumn="0" showLastColumn="0" showRowStripes="1" showColumnStripes="0"/>
</table>
</file>

<file path=xl/tables/table788.xml><?xml version="1.0" encoding="utf-8"?>
<table xmlns="http://schemas.openxmlformats.org/spreadsheetml/2006/main" id="796" name="Pest_99" displayName="Pest_99" ref="A49:D64" totalsRowShown="0" headerRowDxfId="111" dataDxfId="109" headerRowBorderDxfId="110" tableBorderDxfId="108" headerRowCellStyle="40% - Accent6">
  <autoFilter ref="A49:D64"/>
  <tableColumns count="4">
    <tableColumn id="1" name="Expense" dataDxfId="107"/>
    <tableColumn id="2" name="Description" dataDxfId="106"/>
    <tableColumn id="4" name="Label Name" dataDxfId="105"/>
    <tableColumn id="5" name="Amount" dataDxfId="104" dataCellStyle="40% - Accent6"/>
  </tableColumns>
  <tableStyleInfo name="TableStyleLight18" showFirstColumn="0" showLastColumn="0" showRowStripes="1" showColumnStripes="0"/>
</table>
</file>

<file path=xl/tables/table789.xml><?xml version="1.0" encoding="utf-8"?>
<table xmlns="http://schemas.openxmlformats.org/spreadsheetml/2006/main" id="797" name="Garbage_99" displayName="Garbage_99" ref="A68:D83" totalsRowShown="0" headerRowDxfId="103" dataDxfId="101" headerRowBorderDxfId="102" tableBorderDxfId="100" headerRowCellStyle="40% - Accent6">
  <autoFilter ref="A68:D83"/>
  <tableColumns count="4">
    <tableColumn id="1" name="Expense" dataDxfId="99"/>
    <tableColumn id="2" name="Description" dataDxfId="98"/>
    <tableColumn id="4" name="Label Name" dataDxfId="97"/>
    <tableColumn id="5" name="Amount" dataDxfId="96" dataCellStyle="20% - Accent6"/>
  </tableColumns>
  <tableStyleInfo name="TableStyleLight18" showFirstColumn="0" showLastColumn="0" showRowStripes="1" showColumnStripes="0"/>
</table>
</file>

<file path=xl/tables/table79.xml><?xml version="1.0" encoding="utf-8"?>
<table xmlns="http://schemas.openxmlformats.org/spreadsheetml/2006/main" id="144" name="Fence_10" displayName="Fence_10" ref="A106:D121" totalsRowShown="0" headerRowDxfId="5783" dataDxfId="5781" headerRowBorderDxfId="5782" tableBorderDxfId="5780" headerRowCellStyle="40% - Accent6">
  <autoFilter ref="A106:D121"/>
  <tableColumns count="4">
    <tableColumn id="1" name="Expense" dataDxfId="5779"/>
    <tableColumn id="2" name="Description" dataDxfId="5778"/>
    <tableColumn id="4" name="Label Name" dataDxfId="5777"/>
    <tableColumn id="5" name="Amount" dataDxfId="5776" dataCellStyle="40% - Accent6"/>
  </tableColumns>
  <tableStyleInfo name="TableStyleLight18" showFirstColumn="0" showLastColumn="0" showRowStripes="1" showColumnStripes="0"/>
</table>
</file>

<file path=xl/tables/table790.xml><?xml version="1.0" encoding="utf-8"?>
<table xmlns="http://schemas.openxmlformats.org/spreadsheetml/2006/main" id="798" name="Boarding_99" displayName="Boarding_99" ref="A87:D102" totalsRowShown="0" headerRowDxfId="95" dataDxfId="93" headerRowBorderDxfId="94" tableBorderDxfId="92" headerRowCellStyle="40% - Accent6">
  <autoFilter ref="A87:D102"/>
  <tableColumns count="4">
    <tableColumn id="1" name="Expense" dataDxfId="91"/>
    <tableColumn id="2" name="Description" dataDxfId="90"/>
    <tableColumn id="4" name="Label Name" dataDxfId="89"/>
    <tableColumn id="5" name="Amount" dataDxfId="88" dataCellStyle="40% - Accent6"/>
  </tableColumns>
  <tableStyleInfo name="TableStyleLight18" showFirstColumn="0" showLastColumn="0" showRowStripes="1" showColumnStripes="0"/>
</table>
</file>

<file path=xl/tables/table791.xml><?xml version="1.0" encoding="utf-8"?>
<table xmlns="http://schemas.openxmlformats.org/spreadsheetml/2006/main" id="799" name="Fence_99" displayName="Fence_99" ref="A106:D121" totalsRowShown="0" headerRowDxfId="87" dataDxfId="85" headerRowBorderDxfId="86" tableBorderDxfId="84" headerRowCellStyle="40% - Accent6">
  <autoFilter ref="A106:D121"/>
  <tableColumns count="4">
    <tableColumn id="1" name="Expense" dataDxfId="83"/>
    <tableColumn id="2" name="Description" dataDxfId="82"/>
    <tableColumn id="4" name="Label Name" dataDxfId="81"/>
    <tableColumn id="5" name="Amount" dataDxfId="80" dataCellStyle="40% - Accent6"/>
  </tableColumns>
  <tableStyleInfo name="TableStyleLight18" showFirstColumn="0" showLastColumn="0" showRowStripes="1" showColumnStripes="0"/>
</table>
</file>

<file path=xl/tables/table792.xml><?xml version="1.0" encoding="utf-8"?>
<table xmlns="http://schemas.openxmlformats.org/spreadsheetml/2006/main" id="800" name="Demolition_99" displayName="Demolition_99" ref="A125:D140" totalsRowShown="0" headerRowDxfId="79" dataDxfId="77" headerRowBorderDxfId="78" tableBorderDxfId="76" headerRowCellStyle="40% - Accent6">
  <autoFilter ref="A125:D140"/>
  <tableColumns count="4">
    <tableColumn id="1" name="Expense" dataDxfId="75"/>
    <tableColumn id="2" name="Description" dataDxfId="74"/>
    <tableColumn id="4" name="Label Name" dataDxfId="73"/>
    <tableColumn id="5" name="Amount" dataDxfId="72" dataCellStyle="40% - Accent6"/>
  </tableColumns>
  <tableStyleInfo name="TableStyleLight18" showFirstColumn="0" showLastColumn="0" showRowStripes="1" showColumnStripes="0"/>
</table>
</file>

<file path=xl/tables/table793.xml><?xml version="1.0" encoding="utf-8"?>
<table xmlns="http://schemas.openxmlformats.org/spreadsheetml/2006/main" id="801" name="Rehab_99" displayName="Rehab_99" ref="A144:D159" totalsRowShown="0" headerRowDxfId="71" dataDxfId="69" headerRowBorderDxfId="70" tableBorderDxfId="68" headerRowCellStyle="40% - Accent6">
  <autoFilter ref="A144:D159"/>
  <tableColumns count="4">
    <tableColumn id="1" name="Expense" dataDxfId="67"/>
    <tableColumn id="2" name="Description" dataDxfId="66"/>
    <tableColumn id="4" name="Label Name" dataDxfId="65"/>
    <tableColumn id="5" name="Amount" dataDxfId="64" dataCellStyle="40% - Accent6"/>
  </tableColumns>
  <tableStyleInfo name="TableStyleLight18" showFirstColumn="0" showLastColumn="0" showRowStripes="1" showColumnStripes="0"/>
</table>
</file>

<file path=xl/tables/table794.xml><?xml version="1.0" encoding="utf-8"?>
<table xmlns="http://schemas.openxmlformats.org/spreadsheetml/2006/main" id="778" name="Grass_100" displayName="Grass_100" ref="A11:D26" totalsRowShown="0" headerRowDxfId="63" dataDxfId="61" headerRowBorderDxfId="62" tableBorderDxfId="60" headerRowCellStyle="40% - Accent6">
  <autoFilter ref="A11:D26"/>
  <tableColumns count="4">
    <tableColumn id="1" name="Expense" dataDxfId="59"/>
    <tableColumn id="2" name="Description" dataDxfId="58"/>
    <tableColumn id="4" name="Label Name" dataDxfId="57"/>
    <tableColumn id="5" name="Amount" dataDxfId="56" dataCellStyle="20% - Accent6"/>
  </tableColumns>
  <tableStyleInfo name="TableStyleLight18" showFirstColumn="0" showLastColumn="0" showRowStripes="1" showColumnStripes="0"/>
</table>
</file>

<file path=xl/tables/table795.xml><?xml version="1.0" encoding="utf-8"?>
<table xmlns="http://schemas.openxmlformats.org/spreadsheetml/2006/main" id="779" name="Tree_100" displayName="Tree_100" ref="A30:D45" totalsRowShown="0" headerRowDxfId="55" dataDxfId="53" headerRowBorderDxfId="54" tableBorderDxfId="52" headerRowCellStyle="40% - Accent6">
  <autoFilter ref="A30:D45"/>
  <tableColumns count="4">
    <tableColumn id="1" name="Expense" dataDxfId="51"/>
    <tableColumn id="2" name="Description" dataDxfId="50"/>
    <tableColumn id="4" name="Label Name" dataDxfId="49"/>
    <tableColumn id="5" name="Amount" dataDxfId="48" dataCellStyle="40% - Accent6"/>
  </tableColumns>
  <tableStyleInfo name="TableStyleLight18" showFirstColumn="0" showLastColumn="0" showRowStripes="1" showColumnStripes="0"/>
</table>
</file>

<file path=xl/tables/table796.xml><?xml version="1.0" encoding="utf-8"?>
<table xmlns="http://schemas.openxmlformats.org/spreadsheetml/2006/main" id="780" name="Pest_100" displayName="Pest_100" ref="A49:D64" totalsRowShown="0" headerRowDxfId="47" dataDxfId="45" headerRowBorderDxfId="46" tableBorderDxfId="44" headerRowCellStyle="40% - Accent6">
  <autoFilter ref="A49:D64"/>
  <tableColumns count="4">
    <tableColumn id="1" name="Expense" dataDxfId="43"/>
    <tableColumn id="2" name="Description" dataDxfId="42"/>
    <tableColumn id="4" name="Label Name" dataDxfId="41"/>
    <tableColumn id="5" name="Amount" dataDxfId="40" dataCellStyle="40% - Accent6"/>
  </tableColumns>
  <tableStyleInfo name="TableStyleLight18" showFirstColumn="0" showLastColumn="0" showRowStripes="1" showColumnStripes="0"/>
</table>
</file>

<file path=xl/tables/table797.xml><?xml version="1.0" encoding="utf-8"?>
<table xmlns="http://schemas.openxmlformats.org/spreadsheetml/2006/main" id="781" name="Garbage_100" displayName="Garbage_100" ref="A68:D83" totalsRowShown="0" headerRowDxfId="39" dataDxfId="37" headerRowBorderDxfId="38" tableBorderDxfId="36" headerRowCellStyle="40% - Accent6">
  <autoFilter ref="A68:D83"/>
  <tableColumns count="4">
    <tableColumn id="1" name="Expense" dataDxfId="35"/>
    <tableColumn id="2" name="Description" dataDxfId="34"/>
    <tableColumn id="4" name="Label Name" dataDxfId="33"/>
    <tableColumn id="5" name="Amount" dataDxfId="32" dataCellStyle="20% - Accent6"/>
  </tableColumns>
  <tableStyleInfo name="TableStyleLight18" showFirstColumn="0" showLastColumn="0" showRowStripes="1" showColumnStripes="0"/>
</table>
</file>

<file path=xl/tables/table798.xml><?xml version="1.0" encoding="utf-8"?>
<table xmlns="http://schemas.openxmlformats.org/spreadsheetml/2006/main" id="782" name="Boarding_100" displayName="Boarding_100" ref="A87:D102" totalsRowShown="0" headerRowDxfId="31" dataDxfId="29" headerRowBorderDxfId="30" tableBorderDxfId="28" headerRowCellStyle="40% - Accent6">
  <autoFilter ref="A87:D102"/>
  <tableColumns count="4">
    <tableColumn id="1" name="Expense" dataDxfId="27"/>
    <tableColumn id="2" name="Description" dataDxfId="26"/>
    <tableColumn id="4" name="Label Name" dataDxfId="25"/>
    <tableColumn id="5" name="Amount" dataDxfId="24" dataCellStyle="40% - Accent6"/>
  </tableColumns>
  <tableStyleInfo name="TableStyleLight18" showFirstColumn="0" showLastColumn="0" showRowStripes="1" showColumnStripes="0"/>
</table>
</file>

<file path=xl/tables/table799.xml><?xml version="1.0" encoding="utf-8"?>
<table xmlns="http://schemas.openxmlformats.org/spreadsheetml/2006/main" id="783" name="Fence_100" displayName="Fence_100" ref="A106:D121" totalsRowShown="0" headerRowDxfId="23" dataDxfId="21" headerRowBorderDxfId="22" tableBorderDxfId="20" headerRowCellStyle="40% - Accent6">
  <autoFilter ref="A106:D121"/>
  <tableColumns count="4">
    <tableColumn id="1" name="Expense" dataDxfId="19"/>
    <tableColumn id="2" name="Description" dataDxfId="18"/>
    <tableColumn id="4" name="Label Name" dataDxfId="17"/>
    <tableColumn id="5" name="Amount" dataDxfId="16" dataCellStyle="40% - Accent6"/>
  </tableColumns>
  <tableStyleInfo name="TableStyleLight18" showFirstColumn="0" showLastColumn="0" showRowStripes="1" showColumnStripes="0"/>
</table>
</file>

<file path=xl/tables/table8.xml><?xml version="1.0" encoding="utf-8"?>
<table xmlns="http://schemas.openxmlformats.org/spreadsheetml/2006/main" id="65" name="Demolition_1" displayName="Demolition_1" ref="A125:D140" totalsRowShown="0" headerRowDxfId="6351" dataDxfId="6349" headerRowBorderDxfId="6350" tableBorderDxfId="6348" headerRowCellStyle="40% - Accent6">
  <autoFilter ref="A125:D140"/>
  <tableColumns count="4">
    <tableColumn id="1" name="Expense" dataDxfId="6347"/>
    <tableColumn id="2" name="Description" dataDxfId="6346"/>
    <tableColumn id="4" name="Label Name" dataDxfId="6345"/>
    <tableColumn id="5" name="Amount" dataDxfId="6344" dataCellStyle="40% - Accent6"/>
  </tableColumns>
  <tableStyleInfo name="TableStyleLight18" showFirstColumn="0" showLastColumn="0" showRowStripes="1" showColumnStripes="0"/>
</table>
</file>

<file path=xl/tables/table80.xml><?xml version="1.0" encoding="utf-8"?>
<table xmlns="http://schemas.openxmlformats.org/spreadsheetml/2006/main" id="145" name="Demolition_10" displayName="Demolition_10" ref="A125:D140" totalsRowShown="0" headerRowDxfId="5775" dataDxfId="5773" headerRowBorderDxfId="5774" tableBorderDxfId="5772" headerRowCellStyle="40% - Accent6">
  <autoFilter ref="A125:D140"/>
  <tableColumns count="4">
    <tableColumn id="1" name="Expense" dataDxfId="5771"/>
    <tableColumn id="2" name="Description" dataDxfId="5770"/>
    <tableColumn id="4" name="Label Name" dataDxfId="5769"/>
    <tableColumn id="5" name="Amount" dataDxfId="5768" dataCellStyle="40% - Accent6"/>
  </tableColumns>
  <tableStyleInfo name="TableStyleLight18" showFirstColumn="0" showLastColumn="0" showRowStripes="1" showColumnStripes="0"/>
</table>
</file>

<file path=xl/tables/table800.xml><?xml version="1.0" encoding="utf-8"?>
<table xmlns="http://schemas.openxmlformats.org/spreadsheetml/2006/main" id="784" name="Demolition_100" displayName="Demolition_100" ref="A125:D140" totalsRowShown="0" headerRowDxfId="15" dataDxfId="13" headerRowBorderDxfId="14" tableBorderDxfId="12" headerRowCellStyle="40% - Accent6">
  <autoFilter ref="A125:D140"/>
  <tableColumns count="4">
    <tableColumn id="1" name="Expense" dataDxfId="11"/>
    <tableColumn id="2" name="Description" dataDxfId="10"/>
    <tableColumn id="4" name="Label Name" dataDxfId="9"/>
    <tableColumn id="5" name="Amount" dataDxfId="8" dataCellStyle="40% - Accent6"/>
  </tableColumns>
  <tableStyleInfo name="TableStyleLight18" showFirstColumn="0" showLastColumn="0" showRowStripes="1" showColumnStripes="0"/>
</table>
</file>

<file path=xl/tables/table801.xml><?xml version="1.0" encoding="utf-8"?>
<table xmlns="http://schemas.openxmlformats.org/spreadsheetml/2006/main" id="785" name="Rehab_100" displayName="Rehab_100" ref="A144:D159" totalsRowShown="0" headerRowDxfId="7" dataDxfId="5" headerRowBorderDxfId="6" tableBorderDxfId="4" headerRowCellStyle="40% - Accent6">
  <autoFilter ref="A144:D159"/>
  <tableColumns count="4">
    <tableColumn id="1" name="Expense" dataDxfId="3"/>
    <tableColumn id="2" name="Description" dataDxfId="2"/>
    <tableColumn id="4" name="Label Name" dataDxfId="1"/>
    <tableColumn id="5" name="Amount" dataDxfId="0" dataCellStyle="40% - Accent6"/>
  </tableColumns>
  <tableStyleInfo name="TableStyleLight18" showFirstColumn="0" showLastColumn="0" showRowStripes="1" showColumnStripes="0"/>
</table>
</file>

<file path=xl/tables/table81.xml><?xml version="1.0" encoding="utf-8"?>
<table xmlns="http://schemas.openxmlformats.org/spreadsheetml/2006/main" id="146" name="Rehab_10" displayName="Rehab_10" ref="A144:D159" totalsRowShown="0" headerRowDxfId="5767" dataDxfId="5765" headerRowBorderDxfId="5766" tableBorderDxfId="5764" headerRowCellStyle="40% - Accent6">
  <autoFilter ref="A144:D159"/>
  <tableColumns count="4">
    <tableColumn id="1" name="Expense" dataDxfId="5763"/>
    <tableColumn id="2" name="Description" dataDxfId="5762"/>
    <tableColumn id="4" name="Label Name" dataDxfId="5761"/>
    <tableColumn id="5" name="Amount" dataDxfId="5760" dataCellStyle="40% - Accent6"/>
  </tableColumns>
  <tableStyleInfo name="TableStyleLight18" showFirstColumn="0" showLastColumn="0" showRowStripes="1" showColumnStripes="0"/>
</table>
</file>

<file path=xl/tables/table82.xml><?xml version="1.0" encoding="utf-8"?>
<table xmlns="http://schemas.openxmlformats.org/spreadsheetml/2006/main" id="5" name="Grass_11" displayName="Grass_11" ref="A11:D26" totalsRowShown="0" headerRowDxfId="5759" dataDxfId="5757" headerRowBorderDxfId="5758" tableBorderDxfId="5756" headerRowCellStyle="40% - Accent6">
  <autoFilter ref="A11:D26"/>
  <tableColumns count="4">
    <tableColumn id="1" name="Expense" dataDxfId="5755"/>
    <tableColumn id="2" name="Description" dataDxfId="5754"/>
    <tableColumn id="4" name="Label Name" dataDxfId="5753"/>
    <tableColumn id="5" name="Amount" dataDxfId="5752" dataCellStyle="20% - Accent6"/>
  </tableColumns>
  <tableStyleInfo name="TableStyleLight18" showFirstColumn="0" showLastColumn="0" showRowStripes="1" showColumnStripes="0"/>
</table>
</file>

<file path=xl/tables/table83.xml><?xml version="1.0" encoding="utf-8"?>
<table xmlns="http://schemas.openxmlformats.org/spreadsheetml/2006/main" id="6" name="Tree_11" displayName="Tree_11" ref="A30:D45" totalsRowShown="0" headerRowDxfId="5751" dataDxfId="5749" headerRowBorderDxfId="5750" tableBorderDxfId="5748" headerRowCellStyle="40% - Accent6">
  <autoFilter ref="A30:D45"/>
  <tableColumns count="4">
    <tableColumn id="1" name="Expense" dataDxfId="5747"/>
    <tableColumn id="2" name="Description" dataDxfId="5746"/>
    <tableColumn id="4" name="Label Name" dataDxfId="5745"/>
    <tableColumn id="5" name="Amount" dataDxfId="5744" dataCellStyle="40% - Accent6"/>
  </tableColumns>
  <tableStyleInfo name="TableStyleLight18" showFirstColumn="0" showLastColumn="0" showRowStripes="1" showColumnStripes="0"/>
</table>
</file>

<file path=xl/tables/table84.xml><?xml version="1.0" encoding="utf-8"?>
<table xmlns="http://schemas.openxmlformats.org/spreadsheetml/2006/main" id="7" name="Pest_11" displayName="Pest_11" ref="A49:D64" totalsRowShown="0" headerRowDxfId="5743" dataDxfId="5741" headerRowBorderDxfId="5742" tableBorderDxfId="5740" headerRowCellStyle="40% - Accent6">
  <autoFilter ref="A49:D64"/>
  <tableColumns count="4">
    <tableColumn id="1" name="Expense" dataDxfId="5739"/>
    <tableColumn id="2" name="Description" dataDxfId="5738"/>
    <tableColumn id="4" name="Label Name" dataDxfId="5737"/>
    <tableColumn id="5" name="Amount" dataDxfId="5736" dataCellStyle="40% - Accent6"/>
  </tableColumns>
  <tableStyleInfo name="TableStyleLight18" showFirstColumn="0" showLastColumn="0" showRowStripes="1" showColumnStripes="0"/>
</table>
</file>

<file path=xl/tables/table85.xml><?xml version="1.0" encoding="utf-8"?>
<table xmlns="http://schemas.openxmlformats.org/spreadsheetml/2006/main" id="8" name="Garbage_11" displayName="Garbage_11" ref="A68:D83" totalsRowShown="0" headerRowDxfId="5735" dataDxfId="5733" headerRowBorderDxfId="5734" tableBorderDxfId="5732" headerRowCellStyle="40% - Accent6">
  <autoFilter ref="A68:D83"/>
  <tableColumns count="4">
    <tableColumn id="1" name="Expense" dataDxfId="5731"/>
    <tableColumn id="2" name="Description" dataDxfId="5730"/>
    <tableColumn id="4" name="Label Name" dataDxfId="5729"/>
    <tableColumn id="5" name="Amount" dataDxfId="5728" dataCellStyle="20% - Accent6"/>
  </tableColumns>
  <tableStyleInfo name="TableStyleLight18" showFirstColumn="0" showLastColumn="0" showRowStripes="1" showColumnStripes="0"/>
</table>
</file>

<file path=xl/tables/table86.xml><?xml version="1.0" encoding="utf-8"?>
<table xmlns="http://schemas.openxmlformats.org/spreadsheetml/2006/main" id="9" name="Boarding_11" displayName="Boarding_11" ref="A87:D102" totalsRowShown="0" headerRowDxfId="5727" dataDxfId="5725" headerRowBorderDxfId="5726" tableBorderDxfId="5724" headerRowCellStyle="40% - Accent6">
  <autoFilter ref="A87:D102"/>
  <tableColumns count="4">
    <tableColumn id="1" name="Expense" dataDxfId="5723"/>
    <tableColumn id="2" name="Description" dataDxfId="5722"/>
    <tableColumn id="4" name="Label Name" dataDxfId="5721"/>
    <tableColumn id="5" name="Amount" dataDxfId="5720" dataCellStyle="40% - Accent6"/>
  </tableColumns>
  <tableStyleInfo name="TableStyleLight18" showFirstColumn="0" showLastColumn="0" showRowStripes="1" showColumnStripes="0"/>
</table>
</file>

<file path=xl/tables/table87.xml><?xml version="1.0" encoding="utf-8"?>
<table xmlns="http://schemas.openxmlformats.org/spreadsheetml/2006/main" id="10" name="Fence_11" displayName="Fence_11" ref="A106:D121" totalsRowShown="0" headerRowDxfId="5719" dataDxfId="5717" headerRowBorderDxfId="5718" tableBorderDxfId="5716" headerRowCellStyle="40% - Accent6">
  <autoFilter ref="A106:D121"/>
  <tableColumns count="4">
    <tableColumn id="1" name="Expense" dataDxfId="5715"/>
    <tableColumn id="2" name="Description" dataDxfId="5714"/>
    <tableColumn id="4" name="Label Name" dataDxfId="5713"/>
    <tableColumn id="5" name="Amount" dataDxfId="5712" dataCellStyle="40% - Accent6"/>
  </tableColumns>
  <tableStyleInfo name="TableStyleLight18" showFirstColumn="0" showLastColumn="0" showRowStripes="1" showColumnStripes="0"/>
</table>
</file>

<file path=xl/tables/table88.xml><?xml version="1.0" encoding="utf-8"?>
<table xmlns="http://schemas.openxmlformats.org/spreadsheetml/2006/main" id="11" name="Demolition_11" displayName="Demolition_11" ref="A125:D140" totalsRowShown="0" headerRowDxfId="5711" dataDxfId="5709" headerRowBorderDxfId="5710" tableBorderDxfId="5708" headerRowCellStyle="40% - Accent6">
  <autoFilter ref="A125:D140"/>
  <tableColumns count="4">
    <tableColumn id="1" name="Expense" dataDxfId="5707"/>
    <tableColumn id="2" name="Description" dataDxfId="5706"/>
    <tableColumn id="4" name="Label Name" dataDxfId="5705"/>
    <tableColumn id="5" name="Amount" dataDxfId="5704" dataCellStyle="40% - Accent6"/>
  </tableColumns>
  <tableStyleInfo name="TableStyleLight18" showFirstColumn="0" showLastColumn="0" showRowStripes="1" showColumnStripes="0"/>
</table>
</file>

<file path=xl/tables/table89.xml><?xml version="1.0" encoding="utf-8"?>
<table xmlns="http://schemas.openxmlformats.org/spreadsheetml/2006/main" id="12" name="Rehab_11" displayName="Rehab_11" ref="A144:D159" totalsRowShown="0" headerRowDxfId="5703" dataDxfId="5701" headerRowBorderDxfId="5702" tableBorderDxfId="5700" headerRowCellStyle="40% - Accent6">
  <autoFilter ref="A144:D159"/>
  <tableColumns count="4">
    <tableColumn id="1" name="Expense" dataDxfId="5699"/>
    <tableColumn id="2" name="Description" dataDxfId="5698"/>
    <tableColumn id="4" name="Label Name" dataDxfId="5697"/>
    <tableColumn id="5" name="Amount" dataDxfId="5696" dataCellStyle="40% - Accent6"/>
  </tableColumns>
  <tableStyleInfo name="TableStyleLight18" showFirstColumn="0" showLastColumn="0" showRowStripes="1" showColumnStripes="0"/>
</table>
</file>

<file path=xl/tables/table9.xml><?xml version="1.0" encoding="utf-8"?>
<table xmlns="http://schemas.openxmlformats.org/spreadsheetml/2006/main" id="66" name="Rehab_1" displayName="Rehab_1" ref="A144:D159" totalsRowShown="0" headerRowDxfId="6343" dataDxfId="6341" headerRowBorderDxfId="6342" tableBorderDxfId="6340" headerRowCellStyle="40% - Accent6">
  <autoFilter ref="A144:D159"/>
  <tableColumns count="4">
    <tableColumn id="1" name="Expense" dataDxfId="6339"/>
    <tableColumn id="2" name="Description" dataDxfId="6338"/>
    <tableColumn id="4" name="Label Name" dataDxfId="6337"/>
    <tableColumn id="5" name="Amount" dataDxfId="6336" dataCellStyle="40% - Accent6"/>
  </tableColumns>
  <tableStyleInfo name="TableStyleLight18" showFirstColumn="0" showLastColumn="0" showRowStripes="1" showColumnStripes="0"/>
</table>
</file>

<file path=xl/tables/table90.xml><?xml version="1.0" encoding="utf-8"?>
<table xmlns="http://schemas.openxmlformats.org/spreadsheetml/2006/main" id="13" name="Grass_12" displayName="Grass_12" ref="A11:D26" totalsRowShown="0" headerRowDxfId="5695" dataDxfId="5693" headerRowBorderDxfId="5694" tableBorderDxfId="5692" headerRowCellStyle="40% - Accent6">
  <autoFilter ref="A11:D26"/>
  <tableColumns count="4">
    <tableColumn id="1" name="Expense" dataDxfId="5691"/>
    <tableColumn id="2" name="Description" dataDxfId="5690"/>
    <tableColumn id="4" name="Label Name" dataDxfId="5689"/>
    <tableColumn id="5" name="Amount" dataDxfId="5688" dataCellStyle="20% - Accent6"/>
  </tableColumns>
  <tableStyleInfo name="TableStyleLight18" showFirstColumn="0" showLastColumn="0" showRowStripes="1" showColumnStripes="0"/>
</table>
</file>

<file path=xl/tables/table91.xml><?xml version="1.0" encoding="utf-8"?>
<table xmlns="http://schemas.openxmlformats.org/spreadsheetml/2006/main" id="14" name="Tree_12" displayName="Tree_12" ref="A30:D45" totalsRowShown="0" headerRowDxfId="5687" dataDxfId="5685" headerRowBorderDxfId="5686" tableBorderDxfId="5684" headerRowCellStyle="40% - Accent6">
  <autoFilter ref="A30:D45"/>
  <tableColumns count="4">
    <tableColumn id="1" name="Expense" dataDxfId="5683"/>
    <tableColumn id="2" name="Description" dataDxfId="5682"/>
    <tableColumn id="4" name="Label Name" dataDxfId="5681"/>
    <tableColumn id="5" name="Amount" dataDxfId="5680" dataCellStyle="40% - Accent6"/>
  </tableColumns>
  <tableStyleInfo name="TableStyleLight18" showFirstColumn="0" showLastColumn="0" showRowStripes="1" showColumnStripes="0"/>
</table>
</file>

<file path=xl/tables/table92.xml><?xml version="1.0" encoding="utf-8"?>
<table xmlns="http://schemas.openxmlformats.org/spreadsheetml/2006/main" id="15" name="Pest_12" displayName="Pest_12" ref="A49:D64" totalsRowShown="0" headerRowDxfId="5679" dataDxfId="5677" headerRowBorderDxfId="5678" tableBorderDxfId="5676" headerRowCellStyle="40% - Accent6">
  <autoFilter ref="A49:D64"/>
  <tableColumns count="4">
    <tableColumn id="1" name="Expense" dataDxfId="5675"/>
    <tableColumn id="2" name="Description" dataDxfId="5674"/>
    <tableColumn id="4" name="Label Name" dataDxfId="5673"/>
    <tableColumn id="5" name="Amount" dataDxfId="5672" dataCellStyle="40% - Accent6"/>
  </tableColumns>
  <tableStyleInfo name="TableStyleLight18" showFirstColumn="0" showLastColumn="0" showRowStripes="1" showColumnStripes="0"/>
</table>
</file>

<file path=xl/tables/table93.xml><?xml version="1.0" encoding="utf-8"?>
<table xmlns="http://schemas.openxmlformats.org/spreadsheetml/2006/main" id="16" name="Garbage_12" displayName="Garbage_12" ref="A68:D83" totalsRowShown="0" headerRowDxfId="5671" dataDxfId="5669" headerRowBorderDxfId="5670" tableBorderDxfId="5668" headerRowCellStyle="40% - Accent6">
  <autoFilter ref="A68:D83"/>
  <tableColumns count="4">
    <tableColumn id="1" name="Expense" dataDxfId="5667"/>
    <tableColumn id="2" name="Description" dataDxfId="5666"/>
    <tableColumn id="4" name="Label Name" dataDxfId="5665"/>
    <tableColumn id="5" name="Amount" dataDxfId="5664" dataCellStyle="20% - Accent6"/>
  </tableColumns>
  <tableStyleInfo name="TableStyleLight18" showFirstColumn="0" showLastColumn="0" showRowStripes="1" showColumnStripes="0"/>
</table>
</file>

<file path=xl/tables/table94.xml><?xml version="1.0" encoding="utf-8"?>
<table xmlns="http://schemas.openxmlformats.org/spreadsheetml/2006/main" id="17" name="Boarding_12" displayName="Boarding_12" ref="A87:D102" totalsRowShown="0" headerRowDxfId="5663" dataDxfId="5661" headerRowBorderDxfId="5662" tableBorderDxfId="5660" headerRowCellStyle="40% - Accent6">
  <autoFilter ref="A87:D102"/>
  <tableColumns count="4">
    <tableColumn id="1" name="Expense" dataDxfId="5659"/>
    <tableColumn id="2" name="Description" dataDxfId="5658"/>
    <tableColumn id="4" name="Label Name" dataDxfId="5657"/>
    <tableColumn id="5" name="Amount" dataDxfId="5656" dataCellStyle="40% - Accent6"/>
  </tableColumns>
  <tableStyleInfo name="TableStyleLight18" showFirstColumn="0" showLastColumn="0" showRowStripes="1" showColumnStripes="0"/>
</table>
</file>

<file path=xl/tables/table95.xml><?xml version="1.0" encoding="utf-8"?>
<table xmlns="http://schemas.openxmlformats.org/spreadsheetml/2006/main" id="18" name="Fence_12" displayName="Fence_12" ref="A106:D121" totalsRowShown="0" headerRowDxfId="5655" dataDxfId="5653" headerRowBorderDxfId="5654" tableBorderDxfId="5652" headerRowCellStyle="40% - Accent6">
  <autoFilter ref="A106:D121"/>
  <tableColumns count="4">
    <tableColumn id="1" name="Expense" dataDxfId="5651"/>
    <tableColumn id="2" name="Description" dataDxfId="5650"/>
    <tableColumn id="4" name="Label Name" dataDxfId="5649"/>
    <tableColumn id="5" name="Amount" dataDxfId="5648" dataCellStyle="40% - Accent6"/>
  </tableColumns>
  <tableStyleInfo name="TableStyleLight18" showFirstColumn="0" showLastColumn="0" showRowStripes="1" showColumnStripes="0"/>
</table>
</file>

<file path=xl/tables/table96.xml><?xml version="1.0" encoding="utf-8"?>
<table xmlns="http://schemas.openxmlformats.org/spreadsheetml/2006/main" id="19" name="Demolition_12" displayName="Demolition_12" ref="A125:D140" totalsRowShown="0" headerRowDxfId="5647" dataDxfId="5645" headerRowBorderDxfId="5646" tableBorderDxfId="5644" headerRowCellStyle="40% - Accent6">
  <autoFilter ref="A125:D140"/>
  <tableColumns count="4">
    <tableColumn id="1" name="Expense" dataDxfId="5643"/>
    <tableColumn id="2" name="Description" dataDxfId="5642"/>
    <tableColumn id="4" name="Label Name" dataDxfId="5641"/>
    <tableColumn id="5" name="Amount" dataDxfId="5640" dataCellStyle="40% - Accent6"/>
  </tableColumns>
  <tableStyleInfo name="TableStyleLight18" showFirstColumn="0" showLastColumn="0" showRowStripes="1" showColumnStripes="0"/>
</table>
</file>

<file path=xl/tables/table97.xml><?xml version="1.0" encoding="utf-8"?>
<table xmlns="http://schemas.openxmlformats.org/spreadsheetml/2006/main" id="20" name="Rehab_12" displayName="Rehab_12" ref="A144:D159" totalsRowShown="0" headerRowDxfId="5639" dataDxfId="5637" headerRowBorderDxfId="5638" tableBorderDxfId="5636" headerRowCellStyle="40% - Accent6">
  <autoFilter ref="A144:D159"/>
  <tableColumns count="4">
    <tableColumn id="1" name="Expense" dataDxfId="5635"/>
    <tableColumn id="2" name="Description" dataDxfId="5634"/>
    <tableColumn id="4" name="Label Name" dataDxfId="5633"/>
    <tableColumn id="5" name="Amount" dataDxfId="5632" dataCellStyle="40% - Accent6"/>
  </tableColumns>
  <tableStyleInfo name="TableStyleLight18" showFirstColumn="0" showLastColumn="0" showRowStripes="1" showColumnStripes="0"/>
</table>
</file>

<file path=xl/tables/table98.xml><?xml version="1.0" encoding="utf-8"?>
<table xmlns="http://schemas.openxmlformats.org/spreadsheetml/2006/main" id="21" name="Grass_13" displayName="Grass_13" ref="A11:D26" totalsRowShown="0" headerRowDxfId="5631" dataDxfId="5629" headerRowBorderDxfId="5630" tableBorderDxfId="5628" headerRowCellStyle="40% - Accent6">
  <autoFilter ref="A11:D26"/>
  <tableColumns count="4">
    <tableColumn id="1" name="Expense" dataDxfId="5627"/>
    <tableColumn id="2" name="Description" dataDxfId="5626"/>
    <tableColumn id="4" name="Label Name" dataDxfId="5625"/>
    <tableColumn id="5" name="Amount" dataDxfId="5624" dataCellStyle="20% - Accent6"/>
  </tableColumns>
  <tableStyleInfo name="TableStyleLight18" showFirstColumn="0" showLastColumn="0" showRowStripes="1" showColumnStripes="0"/>
</table>
</file>

<file path=xl/tables/table99.xml><?xml version="1.0" encoding="utf-8"?>
<table xmlns="http://schemas.openxmlformats.org/spreadsheetml/2006/main" id="22" name="Tree_13" displayName="Tree_13" ref="A30:D45" totalsRowShown="0" headerRowDxfId="5623" dataDxfId="5621" headerRowBorderDxfId="5622" tableBorderDxfId="5620" headerRowCellStyle="40% - Accent6">
  <autoFilter ref="A30:D45"/>
  <tableColumns count="4">
    <tableColumn id="1" name="Expense" dataDxfId="5619"/>
    <tableColumn id="2" name="Description" dataDxfId="5618"/>
    <tableColumn id="4" name="Label Name" dataDxfId="5617"/>
    <tableColumn id="5" name="Amount" dataDxfId="5616" dataCellStyle="40% - Accent6"/>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72.xml"/><Relationship Id="rId3" Type="http://schemas.openxmlformats.org/officeDocument/2006/relationships/table" Target="../tables/table67.xml"/><Relationship Id="rId7" Type="http://schemas.openxmlformats.org/officeDocument/2006/relationships/table" Target="../tables/table71.xml"/><Relationship Id="rId2" Type="http://schemas.openxmlformats.org/officeDocument/2006/relationships/table" Target="../tables/table66.xml"/><Relationship Id="rId1" Type="http://schemas.openxmlformats.org/officeDocument/2006/relationships/printerSettings" Target="../printerSettings/printerSettings10.bin"/><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 Id="rId9" Type="http://schemas.openxmlformats.org/officeDocument/2006/relationships/table" Target="../tables/table73.xml"/></Relationships>
</file>

<file path=xl/worksheets/_rels/sheet100.xml.rels><?xml version="1.0" encoding="UTF-8" standalone="yes"?>
<Relationships xmlns="http://schemas.openxmlformats.org/package/2006/relationships"><Relationship Id="rId8" Type="http://schemas.openxmlformats.org/officeDocument/2006/relationships/table" Target="../tables/table792.xml"/><Relationship Id="rId3" Type="http://schemas.openxmlformats.org/officeDocument/2006/relationships/table" Target="../tables/table787.xml"/><Relationship Id="rId7" Type="http://schemas.openxmlformats.org/officeDocument/2006/relationships/table" Target="../tables/table791.xml"/><Relationship Id="rId2" Type="http://schemas.openxmlformats.org/officeDocument/2006/relationships/table" Target="../tables/table786.xml"/><Relationship Id="rId1" Type="http://schemas.openxmlformats.org/officeDocument/2006/relationships/printerSettings" Target="../printerSettings/printerSettings100.bin"/><Relationship Id="rId6" Type="http://schemas.openxmlformats.org/officeDocument/2006/relationships/table" Target="../tables/table790.xml"/><Relationship Id="rId5" Type="http://schemas.openxmlformats.org/officeDocument/2006/relationships/table" Target="../tables/table789.xml"/><Relationship Id="rId4" Type="http://schemas.openxmlformats.org/officeDocument/2006/relationships/table" Target="../tables/table788.xml"/><Relationship Id="rId9" Type="http://schemas.openxmlformats.org/officeDocument/2006/relationships/table" Target="../tables/table793.xml"/></Relationships>
</file>

<file path=xl/worksheets/_rels/sheet101.xml.rels><?xml version="1.0" encoding="UTF-8" standalone="yes"?>
<Relationships xmlns="http://schemas.openxmlformats.org/package/2006/relationships"><Relationship Id="rId8" Type="http://schemas.openxmlformats.org/officeDocument/2006/relationships/table" Target="../tables/table800.xml"/><Relationship Id="rId3" Type="http://schemas.openxmlformats.org/officeDocument/2006/relationships/table" Target="../tables/table795.xml"/><Relationship Id="rId7" Type="http://schemas.openxmlformats.org/officeDocument/2006/relationships/table" Target="../tables/table799.xml"/><Relationship Id="rId2" Type="http://schemas.openxmlformats.org/officeDocument/2006/relationships/table" Target="../tables/table794.xml"/><Relationship Id="rId1" Type="http://schemas.openxmlformats.org/officeDocument/2006/relationships/printerSettings" Target="../printerSettings/printerSettings101.bin"/><Relationship Id="rId6" Type="http://schemas.openxmlformats.org/officeDocument/2006/relationships/table" Target="../tables/table798.xml"/><Relationship Id="rId5" Type="http://schemas.openxmlformats.org/officeDocument/2006/relationships/table" Target="../tables/table797.xml"/><Relationship Id="rId4" Type="http://schemas.openxmlformats.org/officeDocument/2006/relationships/table" Target="../tables/table796.xml"/><Relationship Id="rId9" Type="http://schemas.openxmlformats.org/officeDocument/2006/relationships/table" Target="../tables/table801.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0.xml"/><Relationship Id="rId3" Type="http://schemas.openxmlformats.org/officeDocument/2006/relationships/table" Target="../tables/table75.xml"/><Relationship Id="rId7" Type="http://schemas.openxmlformats.org/officeDocument/2006/relationships/table" Target="../tables/table79.xml"/><Relationship Id="rId2" Type="http://schemas.openxmlformats.org/officeDocument/2006/relationships/table" Target="../tables/table74.xml"/><Relationship Id="rId1" Type="http://schemas.openxmlformats.org/officeDocument/2006/relationships/printerSettings" Target="../printerSettings/printerSettings11.bin"/><Relationship Id="rId6" Type="http://schemas.openxmlformats.org/officeDocument/2006/relationships/table" Target="../tables/table78.xml"/><Relationship Id="rId5" Type="http://schemas.openxmlformats.org/officeDocument/2006/relationships/table" Target="../tables/table77.xml"/><Relationship Id="rId4" Type="http://schemas.openxmlformats.org/officeDocument/2006/relationships/table" Target="../tables/table76.xml"/><Relationship Id="rId9" Type="http://schemas.openxmlformats.org/officeDocument/2006/relationships/table" Target="../tables/table81.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table" Target="../tables/table82.xml"/><Relationship Id="rId1" Type="http://schemas.openxmlformats.org/officeDocument/2006/relationships/printerSettings" Target="../printerSettings/printerSettings12.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96.xml"/><Relationship Id="rId3" Type="http://schemas.openxmlformats.org/officeDocument/2006/relationships/table" Target="../tables/table91.xml"/><Relationship Id="rId7" Type="http://schemas.openxmlformats.org/officeDocument/2006/relationships/table" Target="../tables/table95.xml"/><Relationship Id="rId2" Type="http://schemas.openxmlformats.org/officeDocument/2006/relationships/table" Target="../tables/table90.xml"/><Relationship Id="rId1" Type="http://schemas.openxmlformats.org/officeDocument/2006/relationships/printerSettings" Target="../printerSettings/printerSettings13.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 Id="rId9" Type="http://schemas.openxmlformats.org/officeDocument/2006/relationships/table" Target="../tables/table97.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table" Target="../tables/table98.xml"/><Relationship Id="rId1" Type="http://schemas.openxmlformats.org/officeDocument/2006/relationships/printerSettings" Target="../printerSettings/printerSettings14.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 Id="rId9" Type="http://schemas.openxmlformats.org/officeDocument/2006/relationships/table" Target="../tables/table105.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12.xml"/><Relationship Id="rId3" Type="http://schemas.openxmlformats.org/officeDocument/2006/relationships/table" Target="../tables/table107.xml"/><Relationship Id="rId7" Type="http://schemas.openxmlformats.org/officeDocument/2006/relationships/table" Target="../tables/table111.xml"/><Relationship Id="rId2" Type="http://schemas.openxmlformats.org/officeDocument/2006/relationships/table" Target="../tables/table106.xml"/><Relationship Id="rId1" Type="http://schemas.openxmlformats.org/officeDocument/2006/relationships/printerSettings" Target="../printerSettings/printerSettings15.bin"/><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 Id="rId9" Type="http://schemas.openxmlformats.org/officeDocument/2006/relationships/table" Target="../tables/table113.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20.xml"/><Relationship Id="rId3" Type="http://schemas.openxmlformats.org/officeDocument/2006/relationships/table" Target="../tables/table115.xml"/><Relationship Id="rId7" Type="http://schemas.openxmlformats.org/officeDocument/2006/relationships/table" Target="../tables/table119.xml"/><Relationship Id="rId2" Type="http://schemas.openxmlformats.org/officeDocument/2006/relationships/table" Target="../tables/table114.xml"/><Relationship Id="rId1" Type="http://schemas.openxmlformats.org/officeDocument/2006/relationships/printerSettings" Target="../printerSettings/printerSettings16.bin"/><Relationship Id="rId6" Type="http://schemas.openxmlformats.org/officeDocument/2006/relationships/table" Target="../tables/table118.xml"/><Relationship Id="rId5" Type="http://schemas.openxmlformats.org/officeDocument/2006/relationships/table" Target="../tables/table117.xml"/><Relationship Id="rId4" Type="http://schemas.openxmlformats.org/officeDocument/2006/relationships/table" Target="../tables/table116.xml"/><Relationship Id="rId9" Type="http://schemas.openxmlformats.org/officeDocument/2006/relationships/table" Target="../tables/table121.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28.xml"/><Relationship Id="rId3" Type="http://schemas.openxmlformats.org/officeDocument/2006/relationships/table" Target="../tables/table123.xml"/><Relationship Id="rId7" Type="http://schemas.openxmlformats.org/officeDocument/2006/relationships/table" Target="../tables/table127.xml"/><Relationship Id="rId2" Type="http://schemas.openxmlformats.org/officeDocument/2006/relationships/table" Target="../tables/table122.xml"/><Relationship Id="rId1" Type="http://schemas.openxmlformats.org/officeDocument/2006/relationships/printerSettings" Target="../printerSettings/printerSettings17.bin"/><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 Id="rId9" Type="http://schemas.openxmlformats.org/officeDocument/2006/relationships/table" Target="../tables/table12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136.xml"/><Relationship Id="rId3" Type="http://schemas.openxmlformats.org/officeDocument/2006/relationships/table" Target="../tables/table131.xml"/><Relationship Id="rId7" Type="http://schemas.openxmlformats.org/officeDocument/2006/relationships/table" Target="../tables/table135.xml"/><Relationship Id="rId2" Type="http://schemas.openxmlformats.org/officeDocument/2006/relationships/table" Target="../tables/table130.xml"/><Relationship Id="rId1" Type="http://schemas.openxmlformats.org/officeDocument/2006/relationships/printerSettings" Target="../printerSettings/printerSettings18.bin"/><Relationship Id="rId6" Type="http://schemas.openxmlformats.org/officeDocument/2006/relationships/table" Target="../tables/table134.xml"/><Relationship Id="rId5" Type="http://schemas.openxmlformats.org/officeDocument/2006/relationships/table" Target="../tables/table133.xml"/><Relationship Id="rId4" Type="http://schemas.openxmlformats.org/officeDocument/2006/relationships/table" Target="../tables/table132.xml"/><Relationship Id="rId9" Type="http://schemas.openxmlformats.org/officeDocument/2006/relationships/table" Target="../tables/table137.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144.xml"/><Relationship Id="rId3" Type="http://schemas.openxmlformats.org/officeDocument/2006/relationships/table" Target="../tables/table139.xml"/><Relationship Id="rId7" Type="http://schemas.openxmlformats.org/officeDocument/2006/relationships/table" Target="../tables/table143.xml"/><Relationship Id="rId2" Type="http://schemas.openxmlformats.org/officeDocument/2006/relationships/table" Target="../tables/table138.xml"/><Relationship Id="rId1" Type="http://schemas.openxmlformats.org/officeDocument/2006/relationships/printerSettings" Target="../printerSettings/printerSettings19.bin"/><Relationship Id="rId6" Type="http://schemas.openxmlformats.org/officeDocument/2006/relationships/table" Target="../tables/table142.xml"/><Relationship Id="rId5" Type="http://schemas.openxmlformats.org/officeDocument/2006/relationships/table" Target="../tables/table141.xml"/><Relationship Id="rId4" Type="http://schemas.openxmlformats.org/officeDocument/2006/relationships/table" Target="../tables/table140.xml"/><Relationship Id="rId9" Type="http://schemas.openxmlformats.org/officeDocument/2006/relationships/table" Target="../tables/table145.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2.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152.xml"/><Relationship Id="rId3" Type="http://schemas.openxmlformats.org/officeDocument/2006/relationships/table" Target="../tables/table147.xml"/><Relationship Id="rId7" Type="http://schemas.openxmlformats.org/officeDocument/2006/relationships/table" Target="../tables/table151.xml"/><Relationship Id="rId2" Type="http://schemas.openxmlformats.org/officeDocument/2006/relationships/table" Target="../tables/table146.xml"/><Relationship Id="rId1" Type="http://schemas.openxmlformats.org/officeDocument/2006/relationships/printerSettings" Target="../printerSettings/printerSettings20.bin"/><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 Id="rId9" Type="http://schemas.openxmlformats.org/officeDocument/2006/relationships/table" Target="../tables/table153.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60.xml"/><Relationship Id="rId3" Type="http://schemas.openxmlformats.org/officeDocument/2006/relationships/table" Target="../tables/table155.xml"/><Relationship Id="rId7" Type="http://schemas.openxmlformats.org/officeDocument/2006/relationships/table" Target="../tables/table159.xml"/><Relationship Id="rId2" Type="http://schemas.openxmlformats.org/officeDocument/2006/relationships/table" Target="../tables/table154.xml"/><Relationship Id="rId1" Type="http://schemas.openxmlformats.org/officeDocument/2006/relationships/printerSettings" Target="../printerSettings/printerSettings21.bin"/><Relationship Id="rId6" Type="http://schemas.openxmlformats.org/officeDocument/2006/relationships/table" Target="../tables/table158.xml"/><Relationship Id="rId5" Type="http://schemas.openxmlformats.org/officeDocument/2006/relationships/table" Target="../tables/table157.xml"/><Relationship Id="rId4" Type="http://schemas.openxmlformats.org/officeDocument/2006/relationships/table" Target="../tables/table156.xml"/><Relationship Id="rId9" Type="http://schemas.openxmlformats.org/officeDocument/2006/relationships/table" Target="../tables/table161.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168.xml"/><Relationship Id="rId3" Type="http://schemas.openxmlformats.org/officeDocument/2006/relationships/table" Target="../tables/table163.xml"/><Relationship Id="rId7" Type="http://schemas.openxmlformats.org/officeDocument/2006/relationships/table" Target="../tables/table167.xml"/><Relationship Id="rId2" Type="http://schemas.openxmlformats.org/officeDocument/2006/relationships/table" Target="../tables/table162.xml"/><Relationship Id="rId1" Type="http://schemas.openxmlformats.org/officeDocument/2006/relationships/printerSettings" Target="../printerSettings/printerSettings22.bin"/><Relationship Id="rId6" Type="http://schemas.openxmlformats.org/officeDocument/2006/relationships/table" Target="../tables/table166.xml"/><Relationship Id="rId5" Type="http://schemas.openxmlformats.org/officeDocument/2006/relationships/table" Target="../tables/table165.xml"/><Relationship Id="rId4" Type="http://schemas.openxmlformats.org/officeDocument/2006/relationships/table" Target="../tables/table164.xml"/><Relationship Id="rId9" Type="http://schemas.openxmlformats.org/officeDocument/2006/relationships/table" Target="../tables/table169.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76.xml"/><Relationship Id="rId3" Type="http://schemas.openxmlformats.org/officeDocument/2006/relationships/table" Target="../tables/table171.xml"/><Relationship Id="rId7" Type="http://schemas.openxmlformats.org/officeDocument/2006/relationships/table" Target="../tables/table175.xml"/><Relationship Id="rId2" Type="http://schemas.openxmlformats.org/officeDocument/2006/relationships/table" Target="../tables/table170.xml"/><Relationship Id="rId1" Type="http://schemas.openxmlformats.org/officeDocument/2006/relationships/printerSettings" Target="../printerSettings/printerSettings23.bin"/><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 Id="rId9" Type="http://schemas.openxmlformats.org/officeDocument/2006/relationships/table" Target="../tables/table177.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84.xml"/><Relationship Id="rId3" Type="http://schemas.openxmlformats.org/officeDocument/2006/relationships/table" Target="../tables/table179.xml"/><Relationship Id="rId7" Type="http://schemas.openxmlformats.org/officeDocument/2006/relationships/table" Target="../tables/table183.xml"/><Relationship Id="rId2" Type="http://schemas.openxmlformats.org/officeDocument/2006/relationships/table" Target="../tables/table178.xml"/><Relationship Id="rId1" Type="http://schemas.openxmlformats.org/officeDocument/2006/relationships/printerSettings" Target="../printerSettings/printerSettings24.bin"/><Relationship Id="rId6" Type="http://schemas.openxmlformats.org/officeDocument/2006/relationships/table" Target="../tables/table182.xml"/><Relationship Id="rId5" Type="http://schemas.openxmlformats.org/officeDocument/2006/relationships/table" Target="../tables/table181.xml"/><Relationship Id="rId4" Type="http://schemas.openxmlformats.org/officeDocument/2006/relationships/table" Target="../tables/table180.xml"/><Relationship Id="rId9" Type="http://schemas.openxmlformats.org/officeDocument/2006/relationships/table" Target="../tables/table18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192.xml"/><Relationship Id="rId3" Type="http://schemas.openxmlformats.org/officeDocument/2006/relationships/table" Target="../tables/table187.xml"/><Relationship Id="rId7" Type="http://schemas.openxmlformats.org/officeDocument/2006/relationships/table" Target="../tables/table191.xml"/><Relationship Id="rId2" Type="http://schemas.openxmlformats.org/officeDocument/2006/relationships/table" Target="../tables/table186.xml"/><Relationship Id="rId1" Type="http://schemas.openxmlformats.org/officeDocument/2006/relationships/printerSettings" Target="../printerSettings/printerSettings25.bin"/><Relationship Id="rId6" Type="http://schemas.openxmlformats.org/officeDocument/2006/relationships/table" Target="../tables/table190.xml"/><Relationship Id="rId5" Type="http://schemas.openxmlformats.org/officeDocument/2006/relationships/table" Target="../tables/table189.xml"/><Relationship Id="rId4" Type="http://schemas.openxmlformats.org/officeDocument/2006/relationships/table" Target="../tables/table188.xml"/><Relationship Id="rId9" Type="http://schemas.openxmlformats.org/officeDocument/2006/relationships/table" Target="../tables/table19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200.xml"/><Relationship Id="rId3" Type="http://schemas.openxmlformats.org/officeDocument/2006/relationships/table" Target="../tables/table195.xml"/><Relationship Id="rId7" Type="http://schemas.openxmlformats.org/officeDocument/2006/relationships/table" Target="../tables/table199.xml"/><Relationship Id="rId2" Type="http://schemas.openxmlformats.org/officeDocument/2006/relationships/table" Target="../tables/table194.xml"/><Relationship Id="rId1" Type="http://schemas.openxmlformats.org/officeDocument/2006/relationships/printerSettings" Target="../printerSettings/printerSettings26.bin"/><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 Id="rId9" Type="http://schemas.openxmlformats.org/officeDocument/2006/relationships/table" Target="../tables/table201.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208.xml"/><Relationship Id="rId3" Type="http://schemas.openxmlformats.org/officeDocument/2006/relationships/table" Target="../tables/table203.xml"/><Relationship Id="rId7" Type="http://schemas.openxmlformats.org/officeDocument/2006/relationships/table" Target="../tables/table207.xml"/><Relationship Id="rId2" Type="http://schemas.openxmlformats.org/officeDocument/2006/relationships/table" Target="../tables/table202.xml"/><Relationship Id="rId1" Type="http://schemas.openxmlformats.org/officeDocument/2006/relationships/printerSettings" Target="../printerSettings/printerSettings27.bin"/><Relationship Id="rId6" Type="http://schemas.openxmlformats.org/officeDocument/2006/relationships/table" Target="../tables/table206.xml"/><Relationship Id="rId5" Type="http://schemas.openxmlformats.org/officeDocument/2006/relationships/table" Target="../tables/table205.xml"/><Relationship Id="rId4" Type="http://schemas.openxmlformats.org/officeDocument/2006/relationships/table" Target="../tables/table204.xml"/><Relationship Id="rId9" Type="http://schemas.openxmlformats.org/officeDocument/2006/relationships/table" Target="../tables/table209.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216.xml"/><Relationship Id="rId3" Type="http://schemas.openxmlformats.org/officeDocument/2006/relationships/table" Target="../tables/table211.xml"/><Relationship Id="rId7" Type="http://schemas.openxmlformats.org/officeDocument/2006/relationships/table" Target="../tables/table215.xml"/><Relationship Id="rId2" Type="http://schemas.openxmlformats.org/officeDocument/2006/relationships/table" Target="../tables/table210.xml"/><Relationship Id="rId1" Type="http://schemas.openxmlformats.org/officeDocument/2006/relationships/printerSettings" Target="../printerSettings/printerSettings28.bin"/><Relationship Id="rId6" Type="http://schemas.openxmlformats.org/officeDocument/2006/relationships/table" Target="../tables/table214.xml"/><Relationship Id="rId5" Type="http://schemas.openxmlformats.org/officeDocument/2006/relationships/table" Target="../tables/table213.xml"/><Relationship Id="rId4" Type="http://schemas.openxmlformats.org/officeDocument/2006/relationships/table" Target="../tables/table212.xml"/><Relationship Id="rId9" Type="http://schemas.openxmlformats.org/officeDocument/2006/relationships/table" Target="../tables/table217.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224.xml"/><Relationship Id="rId3" Type="http://schemas.openxmlformats.org/officeDocument/2006/relationships/table" Target="../tables/table219.xml"/><Relationship Id="rId7" Type="http://schemas.openxmlformats.org/officeDocument/2006/relationships/table" Target="../tables/table223.xml"/><Relationship Id="rId2" Type="http://schemas.openxmlformats.org/officeDocument/2006/relationships/table" Target="../tables/table218.xml"/><Relationship Id="rId1" Type="http://schemas.openxmlformats.org/officeDocument/2006/relationships/printerSettings" Target="../printerSettings/printerSettings29.bin"/><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 Id="rId9" Type="http://schemas.openxmlformats.org/officeDocument/2006/relationships/table" Target="../tables/table225.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3.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 Id="rId9" Type="http://schemas.openxmlformats.org/officeDocument/2006/relationships/table" Target="../tables/table17.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232.xml"/><Relationship Id="rId3" Type="http://schemas.openxmlformats.org/officeDocument/2006/relationships/table" Target="../tables/table227.xml"/><Relationship Id="rId7" Type="http://schemas.openxmlformats.org/officeDocument/2006/relationships/table" Target="../tables/table231.xml"/><Relationship Id="rId2" Type="http://schemas.openxmlformats.org/officeDocument/2006/relationships/table" Target="../tables/table226.xml"/><Relationship Id="rId1" Type="http://schemas.openxmlformats.org/officeDocument/2006/relationships/printerSettings" Target="../printerSettings/printerSettings30.bin"/><Relationship Id="rId6" Type="http://schemas.openxmlformats.org/officeDocument/2006/relationships/table" Target="../tables/table230.xml"/><Relationship Id="rId5" Type="http://schemas.openxmlformats.org/officeDocument/2006/relationships/table" Target="../tables/table229.xml"/><Relationship Id="rId4" Type="http://schemas.openxmlformats.org/officeDocument/2006/relationships/table" Target="../tables/table228.xml"/><Relationship Id="rId9" Type="http://schemas.openxmlformats.org/officeDocument/2006/relationships/table" Target="../tables/table233.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240.xml"/><Relationship Id="rId3" Type="http://schemas.openxmlformats.org/officeDocument/2006/relationships/table" Target="../tables/table235.xml"/><Relationship Id="rId7" Type="http://schemas.openxmlformats.org/officeDocument/2006/relationships/table" Target="../tables/table239.xml"/><Relationship Id="rId2" Type="http://schemas.openxmlformats.org/officeDocument/2006/relationships/table" Target="../tables/table234.xml"/><Relationship Id="rId1" Type="http://schemas.openxmlformats.org/officeDocument/2006/relationships/printerSettings" Target="../printerSettings/printerSettings31.bin"/><Relationship Id="rId6" Type="http://schemas.openxmlformats.org/officeDocument/2006/relationships/table" Target="../tables/table238.xml"/><Relationship Id="rId5" Type="http://schemas.openxmlformats.org/officeDocument/2006/relationships/table" Target="../tables/table237.xml"/><Relationship Id="rId4" Type="http://schemas.openxmlformats.org/officeDocument/2006/relationships/table" Target="../tables/table236.xml"/><Relationship Id="rId9" Type="http://schemas.openxmlformats.org/officeDocument/2006/relationships/table" Target="../tables/table241.xml"/></Relationships>
</file>

<file path=xl/worksheets/_rels/sheet32.xml.rels><?xml version="1.0" encoding="UTF-8" standalone="yes"?>
<Relationships xmlns="http://schemas.openxmlformats.org/package/2006/relationships"><Relationship Id="rId8" Type="http://schemas.openxmlformats.org/officeDocument/2006/relationships/table" Target="../tables/table248.xml"/><Relationship Id="rId3" Type="http://schemas.openxmlformats.org/officeDocument/2006/relationships/table" Target="../tables/table243.xml"/><Relationship Id="rId7" Type="http://schemas.openxmlformats.org/officeDocument/2006/relationships/table" Target="../tables/table247.xml"/><Relationship Id="rId2" Type="http://schemas.openxmlformats.org/officeDocument/2006/relationships/table" Target="../tables/table242.xml"/><Relationship Id="rId1" Type="http://schemas.openxmlformats.org/officeDocument/2006/relationships/printerSettings" Target="../printerSettings/printerSettings32.bin"/><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 Id="rId9" Type="http://schemas.openxmlformats.org/officeDocument/2006/relationships/table" Target="../tables/table249.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56.xml"/><Relationship Id="rId3" Type="http://schemas.openxmlformats.org/officeDocument/2006/relationships/table" Target="../tables/table251.xml"/><Relationship Id="rId7" Type="http://schemas.openxmlformats.org/officeDocument/2006/relationships/table" Target="../tables/table255.xml"/><Relationship Id="rId2" Type="http://schemas.openxmlformats.org/officeDocument/2006/relationships/table" Target="../tables/table250.xml"/><Relationship Id="rId1" Type="http://schemas.openxmlformats.org/officeDocument/2006/relationships/printerSettings" Target="../printerSettings/printerSettings33.bin"/><Relationship Id="rId6" Type="http://schemas.openxmlformats.org/officeDocument/2006/relationships/table" Target="../tables/table254.xml"/><Relationship Id="rId5" Type="http://schemas.openxmlformats.org/officeDocument/2006/relationships/table" Target="../tables/table253.xml"/><Relationship Id="rId4" Type="http://schemas.openxmlformats.org/officeDocument/2006/relationships/table" Target="../tables/table252.xml"/><Relationship Id="rId9" Type="http://schemas.openxmlformats.org/officeDocument/2006/relationships/table" Target="../tables/table257.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264.xml"/><Relationship Id="rId3" Type="http://schemas.openxmlformats.org/officeDocument/2006/relationships/table" Target="../tables/table259.xml"/><Relationship Id="rId7" Type="http://schemas.openxmlformats.org/officeDocument/2006/relationships/table" Target="../tables/table263.xml"/><Relationship Id="rId2" Type="http://schemas.openxmlformats.org/officeDocument/2006/relationships/table" Target="../tables/table258.xml"/><Relationship Id="rId1" Type="http://schemas.openxmlformats.org/officeDocument/2006/relationships/printerSettings" Target="../printerSettings/printerSettings34.bin"/><Relationship Id="rId6" Type="http://schemas.openxmlformats.org/officeDocument/2006/relationships/table" Target="../tables/table262.xml"/><Relationship Id="rId5" Type="http://schemas.openxmlformats.org/officeDocument/2006/relationships/table" Target="../tables/table261.xml"/><Relationship Id="rId4" Type="http://schemas.openxmlformats.org/officeDocument/2006/relationships/table" Target="../tables/table260.xml"/><Relationship Id="rId9" Type="http://schemas.openxmlformats.org/officeDocument/2006/relationships/table" Target="../tables/table265.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272.xml"/><Relationship Id="rId3" Type="http://schemas.openxmlformats.org/officeDocument/2006/relationships/table" Target="../tables/table267.xml"/><Relationship Id="rId7" Type="http://schemas.openxmlformats.org/officeDocument/2006/relationships/table" Target="../tables/table271.xml"/><Relationship Id="rId2" Type="http://schemas.openxmlformats.org/officeDocument/2006/relationships/table" Target="../tables/table266.xml"/><Relationship Id="rId1" Type="http://schemas.openxmlformats.org/officeDocument/2006/relationships/printerSettings" Target="../printerSettings/printerSettings35.bin"/><Relationship Id="rId6" Type="http://schemas.openxmlformats.org/officeDocument/2006/relationships/table" Target="../tables/table270.xml"/><Relationship Id="rId5" Type="http://schemas.openxmlformats.org/officeDocument/2006/relationships/table" Target="../tables/table269.xml"/><Relationship Id="rId4" Type="http://schemas.openxmlformats.org/officeDocument/2006/relationships/table" Target="../tables/table268.xml"/><Relationship Id="rId9" Type="http://schemas.openxmlformats.org/officeDocument/2006/relationships/table" Target="../tables/table273.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80.xml"/><Relationship Id="rId3" Type="http://schemas.openxmlformats.org/officeDocument/2006/relationships/table" Target="../tables/table275.xml"/><Relationship Id="rId7" Type="http://schemas.openxmlformats.org/officeDocument/2006/relationships/table" Target="../tables/table279.xml"/><Relationship Id="rId2" Type="http://schemas.openxmlformats.org/officeDocument/2006/relationships/table" Target="../tables/table274.xml"/><Relationship Id="rId1" Type="http://schemas.openxmlformats.org/officeDocument/2006/relationships/printerSettings" Target="../printerSettings/printerSettings36.bin"/><Relationship Id="rId6" Type="http://schemas.openxmlformats.org/officeDocument/2006/relationships/table" Target="../tables/table278.xml"/><Relationship Id="rId5" Type="http://schemas.openxmlformats.org/officeDocument/2006/relationships/table" Target="../tables/table277.xml"/><Relationship Id="rId4" Type="http://schemas.openxmlformats.org/officeDocument/2006/relationships/table" Target="../tables/table276.xml"/><Relationship Id="rId9" Type="http://schemas.openxmlformats.org/officeDocument/2006/relationships/table" Target="../tables/table281.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288.xml"/><Relationship Id="rId3" Type="http://schemas.openxmlformats.org/officeDocument/2006/relationships/table" Target="../tables/table283.xml"/><Relationship Id="rId7" Type="http://schemas.openxmlformats.org/officeDocument/2006/relationships/table" Target="../tables/table287.xml"/><Relationship Id="rId2" Type="http://schemas.openxmlformats.org/officeDocument/2006/relationships/table" Target="../tables/table282.xml"/><Relationship Id="rId1" Type="http://schemas.openxmlformats.org/officeDocument/2006/relationships/printerSettings" Target="../printerSettings/printerSettings37.bin"/><Relationship Id="rId6" Type="http://schemas.openxmlformats.org/officeDocument/2006/relationships/table" Target="../tables/table286.xml"/><Relationship Id="rId5" Type="http://schemas.openxmlformats.org/officeDocument/2006/relationships/table" Target="../tables/table285.xml"/><Relationship Id="rId4" Type="http://schemas.openxmlformats.org/officeDocument/2006/relationships/table" Target="../tables/table284.xml"/><Relationship Id="rId9" Type="http://schemas.openxmlformats.org/officeDocument/2006/relationships/table" Target="../tables/table289.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296.xml"/><Relationship Id="rId3" Type="http://schemas.openxmlformats.org/officeDocument/2006/relationships/table" Target="../tables/table291.xml"/><Relationship Id="rId7" Type="http://schemas.openxmlformats.org/officeDocument/2006/relationships/table" Target="../tables/table295.xml"/><Relationship Id="rId2" Type="http://schemas.openxmlformats.org/officeDocument/2006/relationships/table" Target="../tables/table290.xml"/><Relationship Id="rId1" Type="http://schemas.openxmlformats.org/officeDocument/2006/relationships/printerSettings" Target="../printerSettings/printerSettings38.bin"/><Relationship Id="rId6" Type="http://schemas.openxmlformats.org/officeDocument/2006/relationships/table" Target="../tables/table294.xml"/><Relationship Id="rId5" Type="http://schemas.openxmlformats.org/officeDocument/2006/relationships/table" Target="../tables/table293.xml"/><Relationship Id="rId4" Type="http://schemas.openxmlformats.org/officeDocument/2006/relationships/table" Target="../tables/table292.xml"/><Relationship Id="rId9" Type="http://schemas.openxmlformats.org/officeDocument/2006/relationships/table" Target="../tables/table297.xml"/></Relationships>
</file>

<file path=xl/worksheets/_rels/sheet39.xml.rels><?xml version="1.0" encoding="UTF-8" standalone="yes"?>
<Relationships xmlns="http://schemas.openxmlformats.org/package/2006/relationships"><Relationship Id="rId8" Type="http://schemas.openxmlformats.org/officeDocument/2006/relationships/table" Target="../tables/table304.xml"/><Relationship Id="rId3" Type="http://schemas.openxmlformats.org/officeDocument/2006/relationships/table" Target="../tables/table299.xml"/><Relationship Id="rId7" Type="http://schemas.openxmlformats.org/officeDocument/2006/relationships/table" Target="../tables/table303.xml"/><Relationship Id="rId2" Type="http://schemas.openxmlformats.org/officeDocument/2006/relationships/table" Target="../tables/table298.xml"/><Relationship Id="rId1" Type="http://schemas.openxmlformats.org/officeDocument/2006/relationships/printerSettings" Target="../printerSettings/printerSettings39.bin"/><Relationship Id="rId6" Type="http://schemas.openxmlformats.org/officeDocument/2006/relationships/table" Target="../tables/table302.xml"/><Relationship Id="rId5" Type="http://schemas.openxmlformats.org/officeDocument/2006/relationships/table" Target="../tables/table301.xml"/><Relationship Id="rId4" Type="http://schemas.openxmlformats.org/officeDocument/2006/relationships/table" Target="../tables/table300.xml"/><Relationship Id="rId9" Type="http://schemas.openxmlformats.org/officeDocument/2006/relationships/table" Target="../tables/table30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4.xml"/><Relationship Id="rId3" Type="http://schemas.openxmlformats.org/officeDocument/2006/relationships/table" Target="../tables/table19.xml"/><Relationship Id="rId7" Type="http://schemas.openxmlformats.org/officeDocument/2006/relationships/table" Target="../tables/table23.xml"/><Relationship Id="rId2" Type="http://schemas.openxmlformats.org/officeDocument/2006/relationships/table" Target="../tables/table18.xml"/><Relationship Id="rId1" Type="http://schemas.openxmlformats.org/officeDocument/2006/relationships/printerSettings" Target="../printerSettings/printerSettings4.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 Id="rId9" Type="http://schemas.openxmlformats.org/officeDocument/2006/relationships/table" Target="../tables/table25.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312.xml"/><Relationship Id="rId3" Type="http://schemas.openxmlformats.org/officeDocument/2006/relationships/table" Target="../tables/table307.xml"/><Relationship Id="rId7" Type="http://schemas.openxmlformats.org/officeDocument/2006/relationships/table" Target="../tables/table311.xml"/><Relationship Id="rId2" Type="http://schemas.openxmlformats.org/officeDocument/2006/relationships/table" Target="../tables/table306.xml"/><Relationship Id="rId1" Type="http://schemas.openxmlformats.org/officeDocument/2006/relationships/printerSettings" Target="../printerSettings/printerSettings40.bin"/><Relationship Id="rId6" Type="http://schemas.openxmlformats.org/officeDocument/2006/relationships/table" Target="../tables/table310.xml"/><Relationship Id="rId5" Type="http://schemas.openxmlformats.org/officeDocument/2006/relationships/table" Target="../tables/table309.xml"/><Relationship Id="rId4" Type="http://schemas.openxmlformats.org/officeDocument/2006/relationships/table" Target="../tables/table308.xml"/><Relationship Id="rId9" Type="http://schemas.openxmlformats.org/officeDocument/2006/relationships/table" Target="../tables/table313.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320.xml"/><Relationship Id="rId3" Type="http://schemas.openxmlformats.org/officeDocument/2006/relationships/table" Target="../tables/table315.xml"/><Relationship Id="rId7" Type="http://schemas.openxmlformats.org/officeDocument/2006/relationships/table" Target="../tables/table319.xml"/><Relationship Id="rId2" Type="http://schemas.openxmlformats.org/officeDocument/2006/relationships/table" Target="../tables/table314.xml"/><Relationship Id="rId1" Type="http://schemas.openxmlformats.org/officeDocument/2006/relationships/printerSettings" Target="../printerSettings/printerSettings41.bin"/><Relationship Id="rId6" Type="http://schemas.openxmlformats.org/officeDocument/2006/relationships/table" Target="../tables/table318.xml"/><Relationship Id="rId5" Type="http://schemas.openxmlformats.org/officeDocument/2006/relationships/table" Target="../tables/table317.xml"/><Relationship Id="rId4" Type="http://schemas.openxmlformats.org/officeDocument/2006/relationships/table" Target="../tables/table316.xml"/><Relationship Id="rId9" Type="http://schemas.openxmlformats.org/officeDocument/2006/relationships/table" Target="../tables/table321.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328.xml"/><Relationship Id="rId3" Type="http://schemas.openxmlformats.org/officeDocument/2006/relationships/table" Target="../tables/table323.xml"/><Relationship Id="rId7" Type="http://schemas.openxmlformats.org/officeDocument/2006/relationships/table" Target="../tables/table327.xml"/><Relationship Id="rId2" Type="http://schemas.openxmlformats.org/officeDocument/2006/relationships/table" Target="../tables/table322.xml"/><Relationship Id="rId1" Type="http://schemas.openxmlformats.org/officeDocument/2006/relationships/printerSettings" Target="../printerSettings/printerSettings42.bin"/><Relationship Id="rId6" Type="http://schemas.openxmlformats.org/officeDocument/2006/relationships/table" Target="../tables/table326.xml"/><Relationship Id="rId5" Type="http://schemas.openxmlformats.org/officeDocument/2006/relationships/table" Target="../tables/table325.xml"/><Relationship Id="rId4" Type="http://schemas.openxmlformats.org/officeDocument/2006/relationships/table" Target="../tables/table324.xml"/><Relationship Id="rId9" Type="http://schemas.openxmlformats.org/officeDocument/2006/relationships/table" Target="../tables/table329.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36.xml"/><Relationship Id="rId3" Type="http://schemas.openxmlformats.org/officeDocument/2006/relationships/table" Target="../tables/table331.xml"/><Relationship Id="rId7" Type="http://schemas.openxmlformats.org/officeDocument/2006/relationships/table" Target="../tables/table335.xml"/><Relationship Id="rId2" Type="http://schemas.openxmlformats.org/officeDocument/2006/relationships/table" Target="../tables/table330.xml"/><Relationship Id="rId1" Type="http://schemas.openxmlformats.org/officeDocument/2006/relationships/printerSettings" Target="../printerSettings/printerSettings43.bin"/><Relationship Id="rId6" Type="http://schemas.openxmlformats.org/officeDocument/2006/relationships/table" Target="../tables/table334.xml"/><Relationship Id="rId5" Type="http://schemas.openxmlformats.org/officeDocument/2006/relationships/table" Target="../tables/table333.xml"/><Relationship Id="rId4" Type="http://schemas.openxmlformats.org/officeDocument/2006/relationships/table" Target="../tables/table332.xml"/><Relationship Id="rId9" Type="http://schemas.openxmlformats.org/officeDocument/2006/relationships/table" Target="../tables/table337.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44.xml"/><Relationship Id="rId3" Type="http://schemas.openxmlformats.org/officeDocument/2006/relationships/table" Target="../tables/table339.xml"/><Relationship Id="rId7" Type="http://schemas.openxmlformats.org/officeDocument/2006/relationships/table" Target="../tables/table343.xml"/><Relationship Id="rId2" Type="http://schemas.openxmlformats.org/officeDocument/2006/relationships/table" Target="../tables/table338.xml"/><Relationship Id="rId1" Type="http://schemas.openxmlformats.org/officeDocument/2006/relationships/printerSettings" Target="../printerSettings/printerSettings44.bin"/><Relationship Id="rId6" Type="http://schemas.openxmlformats.org/officeDocument/2006/relationships/table" Target="../tables/table342.xml"/><Relationship Id="rId5" Type="http://schemas.openxmlformats.org/officeDocument/2006/relationships/table" Target="../tables/table341.xml"/><Relationship Id="rId4" Type="http://schemas.openxmlformats.org/officeDocument/2006/relationships/table" Target="../tables/table340.xml"/><Relationship Id="rId9" Type="http://schemas.openxmlformats.org/officeDocument/2006/relationships/table" Target="../tables/table345.xml"/></Relationships>
</file>

<file path=xl/worksheets/_rels/sheet45.xml.rels><?xml version="1.0" encoding="UTF-8" standalone="yes"?>
<Relationships xmlns="http://schemas.openxmlformats.org/package/2006/relationships"><Relationship Id="rId8" Type="http://schemas.openxmlformats.org/officeDocument/2006/relationships/table" Target="../tables/table352.xml"/><Relationship Id="rId3" Type="http://schemas.openxmlformats.org/officeDocument/2006/relationships/table" Target="../tables/table347.xml"/><Relationship Id="rId7" Type="http://schemas.openxmlformats.org/officeDocument/2006/relationships/table" Target="../tables/table351.xml"/><Relationship Id="rId2" Type="http://schemas.openxmlformats.org/officeDocument/2006/relationships/table" Target="../tables/table346.xml"/><Relationship Id="rId1" Type="http://schemas.openxmlformats.org/officeDocument/2006/relationships/printerSettings" Target="../printerSettings/printerSettings45.bin"/><Relationship Id="rId6" Type="http://schemas.openxmlformats.org/officeDocument/2006/relationships/table" Target="../tables/table350.xml"/><Relationship Id="rId5" Type="http://schemas.openxmlformats.org/officeDocument/2006/relationships/table" Target="../tables/table349.xml"/><Relationship Id="rId4" Type="http://schemas.openxmlformats.org/officeDocument/2006/relationships/table" Target="../tables/table348.xml"/><Relationship Id="rId9" Type="http://schemas.openxmlformats.org/officeDocument/2006/relationships/table" Target="../tables/table353.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360.xml"/><Relationship Id="rId3" Type="http://schemas.openxmlformats.org/officeDocument/2006/relationships/table" Target="../tables/table355.xml"/><Relationship Id="rId7" Type="http://schemas.openxmlformats.org/officeDocument/2006/relationships/table" Target="../tables/table359.xml"/><Relationship Id="rId2" Type="http://schemas.openxmlformats.org/officeDocument/2006/relationships/table" Target="../tables/table354.xml"/><Relationship Id="rId1" Type="http://schemas.openxmlformats.org/officeDocument/2006/relationships/printerSettings" Target="../printerSettings/printerSettings46.bin"/><Relationship Id="rId6" Type="http://schemas.openxmlformats.org/officeDocument/2006/relationships/table" Target="../tables/table358.xml"/><Relationship Id="rId5" Type="http://schemas.openxmlformats.org/officeDocument/2006/relationships/table" Target="../tables/table357.xml"/><Relationship Id="rId4" Type="http://schemas.openxmlformats.org/officeDocument/2006/relationships/table" Target="../tables/table356.xml"/><Relationship Id="rId9" Type="http://schemas.openxmlformats.org/officeDocument/2006/relationships/table" Target="../tables/table361.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368.xml"/><Relationship Id="rId3" Type="http://schemas.openxmlformats.org/officeDocument/2006/relationships/table" Target="../tables/table363.xml"/><Relationship Id="rId7" Type="http://schemas.openxmlformats.org/officeDocument/2006/relationships/table" Target="../tables/table367.xml"/><Relationship Id="rId2" Type="http://schemas.openxmlformats.org/officeDocument/2006/relationships/table" Target="../tables/table362.xml"/><Relationship Id="rId1" Type="http://schemas.openxmlformats.org/officeDocument/2006/relationships/printerSettings" Target="../printerSettings/printerSettings47.bin"/><Relationship Id="rId6" Type="http://schemas.openxmlformats.org/officeDocument/2006/relationships/table" Target="../tables/table366.xml"/><Relationship Id="rId5" Type="http://schemas.openxmlformats.org/officeDocument/2006/relationships/table" Target="../tables/table365.xml"/><Relationship Id="rId4" Type="http://schemas.openxmlformats.org/officeDocument/2006/relationships/table" Target="../tables/table364.xml"/><Relationship Id="rId9" Type="http://schemas.openxmlformats.org/officeDocument/2006/relationships/table" Target="../tables/table369.xml"/></Relationships>
</file>

<file path=xl/worksheets/_rels/sheet48.xml.rels><?xml version="1.0" encoding="UTF-8" standalone="yes"?>
<Relationships xmlns="http://schemas.openxmlformats.org/package/2006/relationships"><Relationship Id="rId8" Type="http://schemas.openxmlformats.org/officeDocument/2006/relationships/table" Target="../tables/table376.xml"/><Relationship Id="rId3" Type="http://schemas.openxmlformats.org/officeDocument/2006/relationships/table" Target="../tables/table371.xml"/><Relationship Id="rId7" Type="http://schemas.openxmlformats.org/officeDocument/2006/relationships/table" Target="../tables/table375.xml"/><Relationship Id="rId2" Type="http://schemas.openxmlformats.org/officeDocument/2006/relationships/table" Target="../tables/table370.xml"/><Relationship Id="rId1" Type="http://schemas.openxmlformats.org/officeDocument/2006/relationships/printerSettings" Target="../printerSettings/printerSettings48.bin"/><Relationship Id="rId6" Type="http://schemas.openxmlformats.org/officeDocument/2006/relationships/table" Target="../tables/table374.xml"/><Relationship Id="rId5" Type="http://schemas.openxmlformats.org/officeDocument/2006/relationships/table" Target="../tables/table373.xml"/><Relationship Id="rId4" Type="http://schemas.openxmlformats.org/officeDocument/2006/relationships/table" Target="../tables/table372.xml"/><Relationship Id="rId9" Type="http://schemas.openxmlformats.org/officeDocument/2006/relationships/table" Target="../tables/table377.xml"/></Relationships>
</file>

<file path=xl/worksheets/_rels/sheet49.xml.rels><?xml version="1.0" encoding="UTF-8" standalone="yes"?>
<Relationships xmlns="http://schemas.openxmlformats.org/package/2006/relationships"><Relationship Id="rId8" Type="http://schemas.openxmlformats.org/officeDocument/2006/relationships/table" Target="../tables/table384.xml"/><Relationship Id="rId3" Type="http://schemas.openxmlformats.org/officeDocument/2006/relationships/table" Target="../tables/table379.xml"/><Relationship Id="rId7" Type="http://schemas.openxmlformats.org/officeDocument/2006/relationships/table" Target="../tables/table383.xml"/><Relationship Id="rId2" Type="http://schemas.openxmlformats.org/officeDocument/2006/relationships/table" Target="../tables/table378.xml"/><Relationship Id="rId1" Type="http://schemas.openxmlformats.org/officeDocument/2006/relationships/printerSettings" Target="../printerSettings/printerSettings49.bin"/><Relationship Id="rId6" Type="http://schemas.openxmlformats.org/officeDocument/2006/relationships/table" Target="../tables/table382.xml"/><Relationship Id="rId5" Type="http://schemas.openxmlformats.org/officeDocument/2006/relationships/table" Target="../tables/table381.xml"/><Relationship Id="rId4" Type="http://schemas.openxmlformats.org/officeDocument/2006/relationships/table" Target="../tables/table380.xml"/><Relationship Id="rId9" Type="http://schemas.openxmlformats.org/officeDocument/2006/relationships/table" Target="../tables/table38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2.xml"/><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table" Target="../tables/table26.xml"/><Relationship Id="rId1" Type="http://schemas.openxmlformats.org/officeDocument/2006/relationships/printerSettings" Target="../printerSettings/printerSettings5.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 Id="rId9" Type="http://schemas.openxmlformats.org/officeDocument/2006/relationships/table" Target="../tables/table33.xml"/></Relationships>
</file>

<file path=xl/worksheets/_rels/sheet50.xml.rels><?xml version="1.0" encoding="UTF-8" standalone="yes"?>
<Relationships xmlns="http://schemas.openxmlformats.org/package/2006/relationships"><Relationship Id="rId8" Type="http://schemas.openxmlformats.org/officeDocument/2006/relationships/table" Target="../tables/table392.xml"/><Relationship Id="rId3" Type="http://schemas.openxmlformats.org/officeDocument/2006/relationships/table" Target="../tables/table387.xml"/><Relationship Id="rId7" Type="http://schemas.openxmlformats.org/officeDocument/2006/relationships/table" Target="../tables/table391.xml"/><Relationship Id="rId2" Type="http://schemas.openxmlformats.org/officeDocument/2006/relationships/table" Target="../tables/table386.xml"/><Relationship Id="rId1" Type="http://schemas.openxmlformats.org/officeDocument/2006/relationships/printerSettings" Target="../printerSettings/printerSettings50.bin"/><Relationship Id="rId6" Type="http://schemas.openxmlformats.org/officeDocument/2006/relationships/table" Target="../tables/table390.xml"/><Relationship Id="rId5" Type="http://schemas.openxmlformats.org/officeDocument/2006/relationships/table" Target="../tables/table389.xml"/><Relationship Id="rId4" Type="http://schemas.openxmlformats.org/officeDocument/2006/relationships/table" Target="../tables/table388.xml"/><Relationship Id="rId9" Type="http://schemas.openxmlformats.org/officeDocument/2006/relationships/table" Target="../tables/table393.xml"/></Relationships>
</file>

<file path=xl/worksheets/_rels/sheet51.xml.rels><?xml version="1.0" encoding="UTF-8" standalone="yes"?>
<Relationships xmlns="http://schemas.openxmlformats.org/package/2006/relationships"><Relationship Id="rId8" Type="http://schemas.openxmlformats.org/officeDocument/2006/relationships/table" Target="../tables/table400.xml"/><Relationship Id="rId3" Type="http://schemas.openxmlformats.org/officeDocument/2006/relationships/table" Target="../tables/table395.xml"/><Relationship Id="rId7" Type="http://schemas.openxmlformats.org/officeDocument/2006/relationships/table" Target="../tables/table399.xml"/><Relationship Id="rId2" Type="http://schemas.openxmlformats.org/officeDocument/2006/relationships/table" Target="../tables/table394.xml"/><Relationship Id="rId1" Type="http://schemas.openxmlformats.org/officeDocument/2006/relationships/printerSettings" Target="../printerSettings/printerSettings51.bin"/><Relationship Id="rId6" Type="http://schemas.openxmlformats.org/officeDocument/2006/relationships/table" Target="../tables/table398.xml"/><Relationship Id="rId5" Type="http://schemas.openxmlformats.org/officeDocument/2006/relationships/table" Target="../tables/table397.xml"/><Relationship Id="rId4" Type="http://schemas.openxmlformats.org/officeDocument/2006/relationships/table" Target="../tables/table396.xml"/><Relationship Id="rId9" Type="http://schemas.openxmlformats.org/officeDocument/2006/relationships/table" Target="../tables/table401.xml"/></Relationships>
</file>

<file path=xl/worksheets/_rels/sheet52.xml.rels><?xml version="1.0" encoding="UTF-8" standalone="yes"?>
<Relationships xmlns="http://schemas.openxmlformats.org/package/2006/relationships"><Relationship Id="rId8" Type="http://schemas.openxmlformats.org/officeDocument/2006/relationships/table" Target="../tables/table408.xml"/><Relationship Id="rId3" Type="http://schemas.openxmlformats.org/officeDocument/2006/relationships/table" Target="../tables/table403.xml"/><Relationship Id="rId7" Type="http://schemas.openxmlformats.org/officeDocument/2006/relationships/table" Target="../tables/table407.xml"/><Relationship Id="rId2" Type="http://schemas.openxmlformats.org/officeDocument/2006/relationships/table" Target="../tables/table402.xml"/><Relationship Id="rId1" Type="http://schemas.openxmlformats.org/officeDocument/2006/relationships/printerSettings" Target="../printerSettings/printerSettings52.bin"/><Relationship Id="rId6" Type="http://schemas.openxmlformats.org/officeDocument/2006/relationships/table" Target="../tables/table406.xml"/><Relationship Id="rId5" Type="http://schemas.openxmlformats.org/officeDocument/2006/relationships/table" Target="../tables/table405.xml"/><Relationship Id="rId4" Type="http://schemas.openxmlformats.org/officeDocument/2006/relationships/table" Target="../tables/table404.xml"/><Relationship Id="rId9" Type="http://schemas.openxmlformats.org/officeDocument/2006/relationships/table" Target="../tables/table409.xml"/></Relationships>
</file>

<file path=xl/worksheets/_rels/sheet53.xml.rels><?xml version="1.0" encoding="UTF-8" standalone="yes"?>
<Relationships xmlns="http://schemas.openxmlformats.org/package/2006/relationships"><Relationship Id="rId8" Type="http://schemas.openxmlformats.org/officeDocument/2006/relationships/table" Target="../tables/table416.xml"/><Relationship Id="rId3" Type="http://schemas.openxmlformats.org/officeDocument/2006/relationships/table" Target="../tables/table411.xml"/><Relationship Id="rId7" Type="http://schemas.openxmlformats.org/officeDocument/2006/relationships/table" Target="../tables/table415.xml"/><Relationship Id="rId2" Type="http://schemas.openxmlformats.org/officeDocument/2006/relationships/table" Target="../tables/table410.xml"/><Relationship Id="rId1" Type="http://schemas.openxmlformats.org/officeDocument/2006/relationships/printerSettings" Target="../printerSettings/printerSettings53.bin"/><Relationship Id="rId6" Type="http://schemas.openxmlformats.org/officeDocument/2006/relationships/table" Target="../tables/table414.xml"/><Relationship Id="rId5" Type="http://schemas.openxmlformats.org/officeDocument/2006/relationships/table" Target="../tables/table413.xml"/><Relationship Id="rId4" Type="http://schemas.openxmlformats.org/officeDocument/2006/relationships/table" Target="../tables/table412.xml"/><Relationship Id="rId9" Type="http://schemas.openxmlformats.org/officeDocument/2006/relationships/table" Target="../tables/table417.xml"/></Relationships>
</file>

<file path=xl/worksheets/_rels/sheet54.xml.rels><?xml version="1.0" encoding="UTF-8" standalone="yes"?>
<Relationships xmlns="http://schemas.openxmlformats.org/package/2006/relationships"><Relationship Id="rId8" Type="http://schemas.openxmlformats.org/officeDocument/2006/relationships/table" Target="../tables/table424.xml"/><Relationship Id="rId3" Type="http://schemas.openxmlformats.org/officeDocument/2006/relationships/table" Target="../tables/table419.xml"/><Relationship Id="rId7" Type="http://schemas.openxmlformats.org/officeDocument/2006/relationships/table" Target="../tables/table423.xml"/><Relationship Id="rId2" Type="http://schemas.openxmlformats.org/officeDocument/2006/relationships/table" Target="../tables/table418.xml"/><Relationship Id="rId1" Type="http://schemas.openxmlformats.org/officeDocument/2006/relationships/printerSettings" Target="../printerSettings/printerSettings54.bin"/><Relationship Id="rId6" Type="http://schemas.openxmlformats.org/officeDocument/2006/relationships/table" Target="../tables/table422.xml"/><Relationship Id="rId5" Type="http://schemas.openxmlformats.org/officeDocument/2006/relationships/table" Target="../tables/table421.xml"/><Relationship Id="rId4" Type="http://schemas.openxmlformats.org/officeDocument/2006/relationships/table" Target="../tables/table420.xml"/><Relationship Id="rId9" Type="http://schemas.openxmlformats.org/officeDocument/2006/relationships/table" Target="../tables/table425.xml"/></Relationships>
</file>

<file path=xl/worksheets/_rels/sheet55.xml.rels><?xml version="1.0" encoding="UTF-8" standalone="yes"?>
<Relationships xmlns="http://schemas.openxmlformats.org/package/2006/relationships"><Relationship Id="rId8" Type="http://schemas.openxmlformats.org/officeDocument/2006/relationships/table" Target="../tables/table432.xml"/><Relationship Id="rId3" Type="http://schemas.openxmlformats.org/officeDocument/2006/relationships/table" Target="../tables/table427.xml"/><Relationship Id="rId7" Type="http://schemas.openxmlformats.org/officeDocument/2006/relationships/table" Target="../tables/table431.xml"/><Relationship Id="rId2" Type="http://schemas.openxmlformats.org/officeDocument/2006/relationships/table" Target="../tables/table426.xml"/><Relationship Id="rId1" Type="http://schemas.openxmlformats.org/officeDocument/2006/relationships/printerSettings" Target="../printerSettings/printerSettings55.bin"/><Relationship Id="rId6" Type="http://schemas.openxmlformats.org/officeDocument/2006/relationships/table" Target="../tables/table430.xml"/><Relationship Id="rId5" Type="http://schemas.openxmlformats.org/officeDocument/2006/relationships/table" Target="../tables/table429.xml"/><Relationship Id="rId4" Type="http://schemas.openxmlformats.org/officeDocument/2006/relationships/table" Target="../tables/table428.xml"/><Relationship Id="rId9" Type="http://schemas.openxmlformats.org/officeDocument/2006/relationships/table" Target="../tables/table433.xml"/></Relationships>
</file>

<file path=xl/worksheets/_rels/sheet56.xml.rels><?xml version="1.0" encoding="UTF-8" standalone="yes"?>
<Relationships xmlns="http://schemas.openxmlformats.org/package/2006/relationships"><Relationship Id="rId8" Type="http://schemas.openxmlformats.org/officeDocument/2006/relationships/table" Target="../tables/table440.xml"/><Relationship Id="rId3" Type="http://schemas.openxmlformats.org/officeDocument/2006/relationships/table" Target="../tables/table435.xml"/><Relationship Id="rId7" Type="http://schemas.openxmlformats.org/officeDocument/2006/relationships/table" Target="../tables/table439.xml"/><Relationship Id="rId2" Type="http://schemas.openxmlformats.org/officeDocument/2006/relationships/table" Target="../tables/table434.xml"/><Relationship Id="rId1" Type="http://schemas.openxmlformats.org/officeDocument/2006/relationships/printerSettings" Target="../printerSettings/printerSettings56.bin"/><Relationship Id="rId6" Type="http://schemas.openxmlformats.org/officeDocument/2006/relationships/table" Target="../tables/table438.xml"/><Relationship Id="rId5" Type="http://schemas.openxmlformats.org/officeDocument/2006/relationships/table" Target="../tables/table437.xml"/><Relationship Id="rId4" Type="http://schemas.openxmlformats.org/officeDocument/2006/relationships/table" Target="../tables/table436.xml"/><Relationship Id="rId9" Type="http://schemas.openxmlformats.org/officeDocument/2006/relationships/table" Target="../tables/table441.xml"/></Relationships>
</file>

<file path=xl/worksheets/_rels/sheet57.xml.rels><?xml version="1.0" encoding="UTF-8" standalone="yes"?>
<Relationships xmlns="http://schemas.openxmlformats.org/package/2006/relationships"><Relationship Id="rId8" Type="http://schemas.openxmlformats.org/officeDocument/2006/relationships/table" Target="../tables/table448.xml"/><Relationship Id="rId3" Type="http://schemas.openxmlformats.org/officeDocument/2006/relationships/table" Target="../tables/table443.xml"/><Relationship Id="rId7" Type="http://schemas.openxmlformats.org/officeDocument/2006/relationships/table" Target="../tables/table447.xml"/><Relationship Id="rId2" Type="http://schemas.openxmlformats.org/officeDocument/2006/relationships/table" Target="../tables/table442.xml"/><Relationship Id="rId1" Type="http://schemas.openxmlformats.org/officeDocument/2006/relationships/printerSettings" Target="../printerSettings/printerSettings57.bin"/><Relationship Id="rId6" Type="http://schemas.openxmlformats.org/officeDocument/2006/relationships/table" Target="../tables/table446.xml"/><Relationship Id="rId5" Type="http://schemas.openxmlformats.org/officeDocument/2006/relationships/table" Target="../tables/table445.xml"/><Relationship Id="rId4" Type="http://schemas.openxmlformats.org/officeDocument/2006/relationships/table" Target="../tables/table444.xml"/><Relationship Id="rId9" Type="http://schemas.openxmlformats.org/officeDocument/2006/relationships/table" Target="../tables/table449.xml"/></Relationships>
</file>

<file path=xl/worksheets/_rels/sheet58.xml.rels><?xml version="1.0" encoding="UTF-8" standalone="yes"?>
<Relationships xmlns="http://schemas.openxmlformats.org/package/2006/relationships"><Relationship Id="rId8" Type="http://schemas.openxmlformats.org/officeDocument/2006/relationships/table" Target="../tables/table456.xml"/><Relationship Id="rId3" Type="http://schemas.openxmlformats.org/officeDocument/2006/relationships/table" Target="../tables/table451.xml"/><Relationship Id="rId7" Type="http://schemas.openxmlformats.org/officeDocument/2006/relationships/table" Target="../tables/table455.xml"/><Relationship Id="rId2" Type="http://schemas.openxmlformats.org/officeDocument/2006/relationships/table" Target="../tables/table450.xml"/><Relationship Id="rId1" Type="http://schemas.openxmlformats.org/officeDocument/2006/relationships/printerSettings" Target="../printerSettings/printerSettings58.bin"/><Relationship Id="rId6" Type="http://schemas.openxmlformats.org/officeDocument/2006/relationships/table" Target="../tables/table454.xml"/><Relationship Id="rId5" Type="http://schemas.openxmlformats.org/officeDocument/2006/relationships/table" Target="../tables/table453.xml"/><Relationship Id="rId4" Type="http://schemas.openxmlformats.org/officeDocument/2006/relationships/table" Target="../tables/table452.xml"/><Relationship Id="rId9" Type="http://schemas.openxmlformats.org/officeDocument/2006/relationships/table" Target="../tables/table457.xml"/></Relationships>
</file>

<file path=xl/worksheets/_rels/sheet59.xml.rels><?xml version="1.0" encoding="UTF-8" standalone="yes"?>
<Relationships xmlns="http://schemas.openxmlformats.org/package/2006/relationships"><Relationship Id="rId8" Type="http://schemas.openxmlformats.org/officeDocument/2006/relationships/table" Target="../tables/table464.xml"/><Relationship Id="rId3" Type="http://schemas.openxmlformats.org/officeDocument/2006/relationships/table" Target="../tables/table459.xml"/><Relationship Id="rId7" Type="http://schemas.openxmlformats.org/officeDocument/2006/relationships/table" Target="../tables/table463.xml"/><Relationship Id="rId2" Type="http://schemas.openxmlformats.org/officeDocument/2006/relationships/table" Target="../tables/table458.xml"/><Relationship Id="rId1" Type="http://schemas.openxmlformats.org/officeDocument/2006/relationships/printerSettings" Target="../printerSettings/printerSettings59.bin"/><Relationship Id="rId6" Type="http://schemas.openxmlformats.org/officeDocument/2006/relationships/table" Target="../tables/table462.xml"/><Relationship Id="rId5" Type="http://schemas.openxmlformats.org/officeDocument/2006/relationships/table" Target="../tables/table461.xml"/><Relationship Id="rId4" Type="http://schemas.openxmlformats.org/officeDocument/2006/relationships/table" Target="../tables/table460.xml"/><Relationship Id="rId9" Type="http://schemas.openxmlformats.org/officeDocument/2006/relationships/table" Target="../tables/table465.xml"/></Relationships>
</file>

<file path=xl/worksheets/_rels/sheet6.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table" Target="../tables/table34.xml"/><Relationship Id="rId1" Type="http://schemas.openxmlformats.org/officeDocument/2006/relationships/printerSettings" Target="../printerSettings/printerSettings6.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 Id="rId9" Type="http://schemas.openxmlformats.org/officeDocument/2006/relationships/table" Target="../tables/table41.xml"/></Relationships>
</file>

<file path=xl/worksheets/_rels/sheet60.xml.rels><?xml version="1.0" encoding="UTF-8" standalone="yes"?>
<Relationships xmlns="http://schemas.openxmlformats.org/package/2006/relationships"><Relationship Id="rId8" Type="http://schemas.openxmlformats.org/officeDocument/2006/relationships/table" Target="../tables/table472.xml"/><Relationship Id="rId3" Type="http://schemas.openxmlformats.org/officeDocument/2006/relationships/table" Target="../tables/table467.xml"/><Relationship Id="rId7" Type="http://schemas.openxmlformats.org/officeDocument/2006/relationships/table" Target="../tables/table471.xml"/><Relationship Id="rId2" Type="http://schemas.openxmlformats.org/officeDocument/2006/relationships/table" Target="../tables/table466.xml"/><Relationship Id="rId1" Type="http://schemas.openxmlformats.org/officeDocument/2006/relationships/printerSettings" Target="../printerSettings/printerSettings60.bin"/><Relationship Id="rId6" Type="http://schemas.openxmlformats.org/officeDocument/2006/relationships/table" Target="../tables/table470.xml"/><Relationship Id="rId5" Type="http://schemas.openxmlformats.org/officeDocument/2006/relationships/table" Target="../tables/table469.xml"/><Relationship Id="rId4" Type="http://schemas.openxmlformats.org/officeDocument/2006/relationships/table" Target="../tables/table468.xml"/><Relationship Id="rId9" Type="http://schemas.openxmlformats.org/officeDocument/2006/relationships/table" Target="../tables/table473.xml"/></Relationships>
</file>

<file path=xl/worksheets/_rels/sheet61.xml.rels><?xml version="1.0" encoding="UTF-8" standalone="yes"?>
<Relationships xmlns="http://schemas.openxmlformats.org/package/2006/relationships"><Relationship Id="rId8" Type="http://schemas.openxmlformats.org/officeDocument/2006/relationships/table" Target="../tables/table480.xml"/><Relationship Id="rId3" Type="http://schemas.openxmlformats.org/officeDocument/2006/relationships/table" Target="../tables/table475.xml"/><Relationship Id="rId7" Type="http://schemas.openxmlformats.org/officeDocument/2006/relationships/table" Target="../tables/table479.xml"/><Relationship Id="rId2" Type="http://schemas.openxmlformats.org/officeDocument/2006/relationships/table" Target="../tables/table474.xml"/><Relationship Id="rId1" Type="http://schemas.openxmlformats.org/officeDocument/2006/relationships/printerSettings" Target="../printerSettings/printerSettings61.bin"/><Relationship Id="rId6" Type="http://schemas.openxmlformats.org/officeDocument/2006/relationships/table" Target="../tables/table478.xml"/><Relationship Id="rId5" Type="http://schemas.openxmlformats.org/officeDocument/2006/relationships/table" Target="../tables/table477.xml"/><Relationship Id="rId4" Type="http://schemas.openxmlformats.org/officeDocument/2006/relationships/table" Target="../tables/table476.xml"/><Relationship Id="rId9" Type="http://schemas.openxmlformats.org/officeDocument/2006/relationships/table" Target="../tables/table481.xml"/></Relationships>
</file>

<file path=xl/worksheets/_rels/sheet62.xml.rels><?xml version="1.0" encoding="UTF-8" standalone="yes"?>
<Relationships xmlns="http://schemas.openxmlformats.org/package/2006/relationships"><Relationship Id="rId8" Type="http://schemas.openxmlformats.org/officeDocument/2006/relationships/table" Target="../tables/table488.xml"/><Relationship Id="rId3" Type="http://schemas.openxmlformats.org/officeDocument/2006/relationships/table" Target="../tables/table483.xml"/><Relationship Id="rId7" Type="http://schemas.openxmlformats.org/officeDocument/2006/relationships/table" Target="../tables/table487.xml"/><Relationship Id="rId2" Type="http://schemas.openxmlformats.org/officeDocument/2006/relationships/table" Target="../tables/table482.xml"/><Relationship Id="rId1" Type="http://schemas.openxmlformats.org/officeDocument/2006/relationships/printerSettings" Target="../printerSettings/printerSettings62.bin"/><Relationship Id="rId6" Type="http://schemas.openxmlformats.org/officeDocument/2006/relationships/table" Target="../tables/table486.xml"/><Relationship Id="rId5" Type="http://schemas.openxmlformats.org/officeDocument/2006/relationships/table" Target="../tables/table485.xml"/><Relationship Id="rId4" Type="http://schemas.openxmlformats.org/officeDocument/2006/relationships/table" Target="../tables/table484.xml"/><Relationship Id="rId9" Type="http://schemas.openxmlformats.org/officeDocument/2006/relationships/table" Target="../tables/table489.xml"/></Relationships>
</file>

<file path=xl/worksheets/_rels/sheet63.xml.rels><?xml version="1.0" encoding="UTF-8" standalone="yes"?>
<Relationships xmlns="http://schemas.openxmlformats.org/package/2006/relationships"><Relationship Id="rId8" Type="http://schemas.openxmlformats.org/officeDocument/2006/relationships/table" Target="../tables/table496.xml"/><Relationship Id="rId3" Type="http://schemas.openxmlformats.org/officeDocument/2006/relationships/table" Target="../tables/table491.xml"/><Relationship Id="rId7" Type="http://schemas.openxmlformats.org/officeDocument/2006/relationships/table" Target="../tables/table495.xml"/><Relationship Id="rId2" Type="http://schemas.openxmlformats.org/officeDocument/2006/relationships/table" Target="../tables/table490.xml"/><Relationship Id="rId1" Type="http://schemas.openxmlformats.org/officeDocument/2006/relationships/printerSettings" Target="../printerSettings/printerSettings63.bin"/><Relationship Id="rId6" Type="http://schemas.openxmlformats.org/officeDocument/2006/relationships/table" Target="../tables/table494.xml"/><Relationship Id="rId5" Type="http://schemas.openxmlformats.org/officeDocument/2006/relationships/table" Target="../tables/table493.xml"/><Relationship Id="rId4" Type="http://schemas.openxmlformats.org/officeDocument/2006/relationships/table" Target="../tables/table492.xml"/><Relationship Id="rId9" Type="http://schemas.openxmlformats.org/officeDocument/2006/relationships/table" Target="../tables/table497.xml"/></Relationships>
</file>

<file path=xl/worksheets/_rels/sheet64.xml.rels><?xml version="1.0" encoding="UTF-8" standalone="yes"?>
<Relationships xmlns="http://schemas.openxmlformats.org/package/2006/relationships"><Relationship Id="rId8" Type="http://schemas.openxmlformats.org/officeDocument/2006/relationships/table" Target="../tables/table504.xml"/><Relationship Id="rId3" Type="http://schemas.openxmlformats.org/officeDocument/2006/relationships/table" Target="../tables/table499.xml"/><Relationship Id="rId7" Type="http://schemas.openxmlformats.org/officeDocument/2006/relationships/table" Target="../tables/table503.xml"/><Relationship Id="rId2" Type="http://schemas.openxmlformats.org/officeDocument/2006/relationships/table" Target="../tables/table498.xml"/><Relationship Id="rId1" Type="http://schemas.openxmlformats.org/officeDocument/2006/relationships/printerSettings" Target="../printerSettings/printerSettings64.bin"/><Relationship Id="rId6" Type="http://schemas.openxmlformats.org/officeDocument/2006/relationships/table" Target="../tables/table502.xml"/><Relationship Id="rId5" Type="http://schemas.openxmlformats.org/officeDocument/2006/relationships/table" Target="../tables/table501.xml"/><Relationship Id="rId4" Type="http://schemas.openxmlformats.org/officeDocument/2006/relationships/table" Target="../tables/table500.xml"/><Relationship Id="rId9" Type="http://schemas.openxmlformats.org/officeDocument/2006/relationships/table" Target="../tables/table505.xml"/></Relationships>
</file>

<file path=xl/worksheets/_rels/sheet65.xml.rels><?xml version="1.0" encoding="UTF-8" standalone="yes"?>
<Relationships xmlns="http://schemas.openxmlformats.org/package/2006/relationships"><Relationship Id="rId8" Type="http://schemas.openxmlformats.org/officeDocument/2006/relationships/table" Target="../tables/table512.xml"/><Relationship Id="rId3" Type="http://schemas.openxmlformats.org/officeDocument/2006/relationships/table" Target="../tables/table507.xml"/><Relationship Id="rId7" Type="http://schemas.openxmlformats.org/officeDocument/2006/relationships/table" Target="../tables/table511.xml"/><Relationship Id="rId2" Type="http://schemas.openxmlformats.org/officeDocument/2006/relationships/table" Target="../tables/table506.xml"/><Relationship Id="rId1" Type="http://schemas.openxmlformats.org/officeDocument/2006/relationships/printerSettings" Target="../printerSettings/printerSettings65.bin"/><Relationship Id="rId6" Type="http://schemas.openxmlformats.org/officeDocument/2006/relationships/table" Target="../tables/table510.xml"/><Relationship Id="rId5" Type="http://schemas.openxmlformats.org/officeDocument/2006/relationships/table" Target="../tables/table509.xml"/><Relationship Id="rId4" Type="http://schemas.openxmlformats.org/officeDocument/2006/relationships/table" Target="../tables/table508.xml"/><Relationship Id="rId9" Type="http://schemas.openxmlformats.org/officeDocument/2006/relationships/table" Target="../tables/table513.xml"/></Relationships>
</file>

<file path=xl/worksheets/_rels/sheet66.xml.rels><?xml version="1.0" encoding="UTF-8" standalone="yes"?>
<Relationships xmlns="http://schemas.openxmlformats.org/package/2006/relationships"><Relationship Id="rId8" Type="http://schemas.openxmlformats.org/officeDocument/2006/relationships/table" Target="../tables/table520.xml"/><Relationship Id="rId3" Type="http://schemas.openxmlformats.org/officeDocument/2006/relationships/table" Target="../tables/table515.xml"/><Relationship Id="rId7" Type="http://schemas.openxmlformats.org/officeDocument/2006/relationships/table" Target="../tables/table519.xml"/><Relationship Id="rId2" Type="http://schemas.openxmlformats.org/officeDocument/2006/relationships/table" Target="../tables/table514.xml"/><Relationship Id="rId1" Type="http://schemas.openxmlformats.org/officeDocument/2006/relationships/printerSettings" Target="../printerSettings/printerSettings66.bin"/><Relationship Id="rId6" Type="http://schemas.openxmlformats.org/officeDocument/2006/relationships/table" Target="../tables/table518.xml"/><Relationship Id="rId5" Type="http://schemas.openxmlformats.org/officeDocument/2006/relationships/table" Target="../tables/table517.xml"/><Relationship Id="rId4" Type="http://schemas.openxmlformats.org/officeDocument/2006/relationships/table" Target="../tables/table516.xml"/><Relationship Id="rId9" Type="http://schemas.openxmlformats.org/officeDocument/2006/relationships/table" Target="../tables/table521.xml"/></Relationships>
</file>

<file path=xl/worksheets/_rels/sheet67.xml.rels><?xml version="1.0" encoding="UTF-8" standalone="yes"?>
<Relationships xmlns="http://schemas.openxmlformats.org/package/2006/relationships"><Relationship Id="rId8" Type="http://schemas.openxmlformats.org/officeDocument/2006/relationships/table" Target="../tables/table528.xml"/><Relationship Id="rId3" Type="http://schemas.openxmlformats.org/officeDocument/2006/relationships/table" Target="../tables/table523.xml"/><Relationship Id="rId7" Type="http://schemas.openxmlformats.org/officeDocument/2006/relationships/table" Target="../tables/table527.xml"/><Relationship Id="rId2" Type="http://schemas.openxmlformats.org/officeDocument/2006/relationships/table" Target="../tables/table522.xml"/><Relationship Id="rId1" Type="http://schemas.openxmlformats.org/officeDocument/2006/relationships/printerSettings" Target="../printerSettings/printerSettings67.bin"/><Relationship Id="rId6" Type="http://schemas.openxmlformats.org/officeDocument/2006/relationships/table" Target="../tables/table526.xml"/><Relationship Id="rId5" Type="http://schemas.openxmlformats.org/officeDocument/2006/relationships/table" Target="../tables/table525.xml"/><Relationship Id="rId4" Type="http://schemas.openxmlformats.org/officeDocument/2006/relationships/table" Target="../tables/table524.xml"/><Relationship Id="rId9" Type="http://schemas.openxmlformats.org/officeDocument/2006/relationships/table" Target="../tables/table529.xml"/></Relationships>
</file>

<file path=xl/worksheets/_rels/sheet68.xml.rels><?xml version="1.0" encoding="UTF-8" standalone="yes"?>
<Relationships xmlns="http://schemas.openxmlformats.org/package/2006/relationships"><Relationship Id="rId8" Type="http://schemas.openxmlformats.org/officeDocument/2006/relationships/table" Target="../tables/table536.xml"/><Relationship Id="rId3" Type="http://schemas.openxmlformats.org/officeDocument/2006/relationships/table" Target="../tables/table531.xml"/><Relationship Id="rId7" Type="http://schemas.openxmlformats.org/officeDocument/2006/relationships/table" Target="../tables/table535.xml"/><Relationship Id="rId2" Type="http://schemas.openxmlformats.org/officeDocument/2006/relationships/table" Target="../tables/table530.xml"/><Relationship Id="rId1" Type="http://schemas.openxmlformats.org/officeDocument/2006/relationships/printerSettings" Target="../printerSettings/printerSettings68.bin"/><Relationship Id="rId6" Type="http://schemas.openxmlformats.org/officeDocument/2006/relationships/table" Target="../tables/table534.xml"/><Relationship Id="rId5" Type="http://schemas.openxmlformats.org/officeDocument/2006/relationships/table" Target="../tables/table533.xml"/><Relationship Id="rId4" Type="http://schemas.openxmlformats.org/officeDocument/2006/relationships/table" Target="../tables/table532.xml"/><Relationship Id="rId9" Type="http://schemas.openxmlformats.org/officeDocument/2006/relationships/table" Target="../tables/table537.xml"/></Relationships>
</file>

<file path=xl/worksheets/_rels/sheet69.xml.rels><?xml version="1.0" encoding="UTF-8" standalone="yes"?>
<Relationships xmlns="http://schemas.openxmlformats.org/package/2006/relationships"><Relationship Id="rId8" Type="http://schemas.openxmlformats.org/officeDocument/2006/relationships/table" Target="../tables/table544.xml"/><Relationship Id="rId3" Type="http://schemas.openxmlformats.org/officeDocument/2006/relationships/table" Target="../tables/table539.xml"/><Relationship Id="rId7" Type="http://schemas.openxmlformats.org/officeDocument/2006/relationships/table" Target="../tables/table543.xml"/><Relationship Id="rId2" Type="http://schemas.openxmlformats.org/officeDocument/2006/relationships/table" Target="../tables/table538.xml"/><Relationship Id="rId1" Type="http://schemas.openxmlformats.org/officeDocument/2006/relationships/printerSettings" Target="../printerSettings/printerSettings69.bin"/><Relationship Id="rId6" Type="http://schemas.openxmlformats.org/officeDocument/2006/relationships/table" Target="../tables/table542.xml"/><Relationship Id="rId5" Type="http://schemas.openxmlformats.org/officeDocument/2006/relationships/table" Target="../tables/table541.xml"/><Relationship Id="rId4" Type="http://schemas.openxmlformats.org/officeDocument/2006/relationships/table" Target="../tables/table540.xml"/><Relationship Id="rId9" Type="http://schemas.openxmlformats.org/officeDocument/2006/relationships/table" Target="../tables/table54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48.xml"/><Relationship Id="rId3" Type="http://schemas.openxmlformats.org/officeDocument/2006/relationships/table" Target="../tables/table43.xml"/><Relationship Id="rId7" Type="http://schemas.openxmlformats.org/officeDocument/2006/relationships/table" Target="../tables/table47.xml"/><Relationship Id="rId2" Type="http://schemas.openxmlformats.org/officeDocument/2006/relationships/table" Target="../tables/table42.xml"/><Relationship Id="rId1" Type="http://schemas.openxmlformats.org/officeDocument/2006/relationships/printerSettings" Target="../printerSettings/printerSettings7.bin"/><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 Id="rId9" Type="http://schemas.openxmlformats.org/officeDocument/2006/relationships/table" Target="../tables/table49.xml"/></Relationships>
</file>

<file path=xl/worksheets/_rels/sheet70.xml.rels><?xml version="1.0" encoding="UTF-8" standalone="yes"?>
<Relationships xmlns="http://schemas.openxmlformats.org/package/2006/relationships"><Relationship Id="rId8" Type="http://schemas.openxmlformats.org/officeDocument/2006/relationships/table" Target="../tables/table552.xml"/><Relationship Id="rId3" Type="http://schemas.openxmlformats.org/officeDocument/2006/relationships/table" Target="../tables/table547.xml"/><Relationship Id="rId7" Type="http://schemas.openxmlformats.org/officeDocument/2006/relationships/table" Target="../tables/table551.xml"/><Relationship Id="rId2" Type="http://schemas.openxmlformats.org/officeDocument/2006/relationships/table" Target="../tables/table546.xml"/><Relationship Id="rId1" Type="http://schemas.openxmlformats.org/officeDocument/2006/relationships/printerSettings" Target="../printerSettings/printerSettings70.bin"/><Relationship Id="rId6" Type="http://schemas.openxmlformats.org/officeDocument/2006/relationships/table" Target="../tables/table550.xml"/><Relationship Id="rId5" Type="http://schemas.openxmlformats.org/officeDocument/2006/relationships/table" Target="../tables/table549.xml"/><Relationship Id="rId4" Type="http://schemas.openxmlformats.org/officeDocument/2006/relationships/table" Target="../tables/table548.xml"/><Relationship Id="rId9" Type="http://schemas.openxmlformats.org/officeDocument/2006/relationships/table" Target="../tables/table553.xml"/></Relationships>
</file>

<file path=xl/worksheets/_rels/sheet71.xml.rels><?xml version="1.0" encoding="UTF-8" standalone="yes"?>
<Relationships xmlns="http://schemas.openxmlformats.org/package/2006/relationships"><Relationship Id="rId8" Type="http://schemas.openxmlformats.org/officeDocument/2006/relationships/table" Target="../tables/table560.xml"/><Relationship Id="rId3" Type="http://schemas.openxmlformats.org/officeDocument/2006/relationships/table" Target="../tables/table555.xml"/><Relationship Id="rId7" Type="http://schemas.openxmlformats.org/officeDocument/2006/relationships/table" Target="../tables/table559.xml"/><Relationship Id="rId2" Type="http://schemas.openxmlformats.org/officeDocument/2006/relationships/table" Target="../tables/table554.xml"/><Relationship Id="rId1" Type="http://schemas.openxmlformats.org/officeDocument/2006/relationships/printerSettings" Target="../printerSettings/printerSettings71.bin"/><Relationship Id="rId6" Type="http://schemas.openxmlformats.org/officeDocument/2006/relationships/table" Target="../tables/table558.xml"/><Relationship Id="rId5" Type="http://schemas.openxmlformats.org/officeDocument/2006/relationships/table" Target="../tables/table557.xml"/><Relationship Id="rId4" Type="http://schemas.openxmlformats.org/officeDocument/2006/relationships/table" Target="../tables/table556.xml"/><Relationship Id="rId9" Type="http://schemas.openxmlformats.org/officeDocument/2006/relationships/table" Target="../tables/table561.xml"/></Relationships>
</file>

<file path=xl/worksheets/_rels/sheet72.xml.rels><?xml version="1.0" encoding="UTF-8" standalone="yes"?>
<Relationships xmlns="http://schemas.openxmlformats.org/package/2006/relationships"><Relationship Id="rId8" Type="http://schemas.openxmlformats.org/officeDocument/2006/relationships/table" Target="../tables/table568.xml"/><Relationship Id="rId3" Type="http://schemas.openxmlformats.org/officeDocument/2006/relationships/table" Target="../tables/table563.xml"/><Relationship Id="rId7" Type="http://schemas.openxmlformats.org/officeDocument/2006/relationships/table" Target="../tables/table567.xml"/><Relationship Id="rId2" Type="http://schemas.openxmlformats.org/officeDocument/2006/relationships/table" Target="../tables/table562.xml"/><Relationship Id="rId1" Type="http://schemas.openxmlformats.org/officeDocument/2006/relationships/printerSettings" Target="../printerSettings/printerSettings72.bin"/><Relationship Id="rId6" Type="http://schemas.openxmlformats.org/officeDocument/2006/relationships/table" Target="../tables/table566.xml"/><Relationship Id="rId5" Type="http://schemas.openxmlformats.org/officeDocument/2006/relationships/table" Target="../tables/table565.xml"/><Relationship Id="rId4" Type="http://schemas.openxmlformats.org/officeDocument/2006/relationships/table" Target="../tables/table564.xml"/><Relationship Id="rId9" Type="http://schemas.openxmlformats.org/officeDocument/2006/relationships/table" Target="../tables/table569.xml"/></Relationships>
</file>

<file path=xl/worksheets/_rels/sheet73.xml.rels><?xml version="1.0" encoding="UTF-8" standalone="yes"?>
<Relationships xmlns="http://schemas.openxmlformats.org/package/2006/relationships"><Relationship Id="rId8" Type="http://schemas.openxmlformats.org/officeDocument/2006/relationships/table" Target="../tables/table576.xml"/><Relationship Id="rId3" Type="http://schemas.openxmlformats.org/officeDocument/2006/relationships/table" Target="../tables/table571.xml"/><Relationship Id="rId7" Type="http://schemas.openxmlformats.org/officeDocument/2006/relationships/table" Target="../tables/table575.xml"/><Relationship Id="rId2" Type="http://schemas.openxmlformats.org/officeDocument/2006/relationships/table" Target="../tables/table570.xml"/><Relationship Id="rId1" Type="http://schemas.openxmlformats.org/officeDocument/2006/relationships/printerSettings" Target="../printerSettings/printerSettings73.bin"/><Relationship Id="rId6" Type="http://schemas.openxmlformats.org/officeDocument/2006/relationships/table" Target="../tables/table574.xml"/><Relationship Id="rId5" Type="http://schemas.openxmlformats.org/officeDocument/2006/relationships/table" Target="../tables/table573.xml"/><Relationship Id="rId4" Type="http://schemas.openxmlformats.org/officeDocument/2006/relationships/table" Target="../tables/table572.xml"/><Relationship Id="rId9" Type="http://schemas.openxmlformats.org/officeDocument/2006/relationships/table" Target="../tables/table577.xml"/></Relationships>
</file>

<file path=xl/worksheets/_rels/sheet74.xml.rels><?xml version="1.0" encoding="UTF-8" standalone="yes"?>
<Relationships xmlns="http://schemas.openxmlformats.org/package/2006/relationships"><Relationship Id="rId8" Type="http://schemas.openxmlformats.org/officeDocument/2006/relationships/table" Target="../tables/table584.xml"/><Relationship Id="rId3" Type="http://schemas.openxmlformats.org/officeDocument/2006/relationships/table" Target="../tables/table579.xml"/><Relationship Id="rId7" Type="http://schemas.openxmlformats.org/officeDocument/2006/relationships/table" Target="../tables/table583.xml"/><Relationship Id="rId2" Type="http://schemas.openxmlformats.org/officeDocument/2006/relationships/table" Target="../tables/table578.xml"/><Relationship Id="rId1" Type="http://schemas.openxmlformats.org/officeDocument/2006/relationships/printerSettings" Target="../printerSettings/printerSettings74.bin"/><Relationship Id="rId6" Type="http://schemas.openxmlformats.org/officeDocument/2006/relationships/table" Target="../tables/table582.xml"/><Relationship Id="rId5" Type="http://schemas.openxmlformats.org/officeDocument/2006/relationships/table" Target="../tables/table581.xml"/><Relationship Id="rId4" Type="http://schemas.openxmlformats.org/officeDocument/2006/relationships/table" Target="../tables/table580.xml"/><Relationship Id="rId9" Type="http://schemas.openxmlformats.org/officeDocument/2006/relationships/table" Target="../tables/table585.xml"/></Relationships>
</file>

<file path=xl/worksheets/_rels/sheet75.xml.rels><?xml version="1.0" encoding="UTF-8" standalone="yes"?>
<Relationships xmlns="http://schemas.openxmlformats.org/package/2006/relationships"><Relationship Id="rId8" Type="http://schemas.openxmlformats.org/officeDocument/2006/relationships/table" Target="../tables/table592.xml"/><Relationship Id="rId3" Type="http://schemas.openxmlformats.org/officeDocument/2006/relationships/table" Target="../tables/table587.xml"/><Relationship Id="rId7" Type="http://schemas.openxmlformats.org/officeDocument/2006/relationships/table" Target="../tables/table591.xml"/><Relationship Id="rId2" Type="http://schemas.openxmlformats.org/officeDocument/2006/relationships/table" Target="../tables/table586.xml"/><Relationship Id="rId1" Type="http://schemas.openxmlformats.org/officeDocument/2006/relationships/printerSettings" Target="../printerSettings/printerSettings75.bin"/><Relationship Id="rId6" Type="http://schemas.openxmlformats.org/officeDocument/2006/relationships/table" Target="../tables/table590.xml"/><Relationship Id="rId5" Type="http://schemas.openxmlformats.org/officeDocument/2006/relationships/table" Target="../tables/table589.xml"/><Relationship Id="rId4" Type="http://schemas.openxmlformats.org/officeDocument/2006/relationships/table" Target="../tables/table588.xml"/><Relationship Id="rId9" Type="http://schemas.openxmlformats.org/officeDocument/2006/relationships/table" Target="../tables/table593.xml"/></Relationships>
</file>

<file path=xl/worksheets/_rels/sheet76.xml.rels><?xml version="1.0" encoding="UTF-8" standalone="yes"?>
<Relationships xmlns="http://schemas.openxmlformats.org/package/2006/relationships"><Relationship Id="rId8" Type="http://schemas.openxmlformats.org/officeDocument/2006/relationships/table" Target="../tables/table600.xml"/><Relationship Id="rId3" Type="http://schemas.openxmlformats.org/officeDocument/2006/relationships/table" Target="../tables/table595.xml"/><Relationship Id="rId7" Type="http://schemas.openxmlformats.org/officeDocument/2006/relationships/table" Target="../tables/table599.xml"/><Relationship Id="rId2" Type="http://schemas.openxmlformats.org/officeDocument/2006/relationships/table" Target="../tables/table594.xml"/><Relationship Id="rId1" Type="http://schemas.openxmlformats.org/officeDocument/2006/relationships/printerSettings" Target="../printerSettings/printerSettings76.bin"/><Relationship Id="rId6" Type="http://schemas.openxmlformats.org/officeDocument/2006/relationships/table" Target="../tables/table598.xml"/><Relationship Id="rId5" Type="http://schemas.openxmlformats.org/officeDocument/2006/relationships/table" Target="../tables/table597.xml"/><Relationship Id="rId4" Type="http://schemas.openxmlformats.org/officeDocument/2006/relationships/table" Target="../tables/table596.xml"/><Relationship Id="rId9" Type="http://schemas.openxmlformats.org/officeDocument/2006/relationships/table" Target="../tables/table601.xml"/></Relationships>
</file>

<file path=xl/worksheets/_rels/sheet77.xml.rels><?xml version="1.0" encoding="UTF-8" standalone="yes"?>
<Relationships xmlns="http://schemas.openxmlformats.org/package/2006/relationships"><Relationship Id="rId8" Type="http://schemas.openxmlformats.org/officeDocument/2006/relationships/table" Target="../tables/table608.xml"/><Relationship Id="rId3" Type="http://schemas.openxmlformats.org/officeDocument/2006/relationships/table" Target="../tables/table603.xml"/><Relationship Id="rId7" Type="http://schemas.openxmlformats.org/officeDocument/2006/relationships/table" Target="../tables/table607.xml"/><Relationship Id="rId2" Type="http://schemas.openxmlformats.org/officeDocument/2006/relationships/table" Target="../tables/table602.xml"/><Relationship Id="rId1" Type="http://schemas.openxmlformats.org/officeDocument/2006/relationships/printerSettings" Target="../printerSettings/printerSettings77.bin"/><Relationship Id="rId6" Type="http://schemas.openxmlformats.org/officeDocument/2006/relationships/table" Target="../tables/table606.xml"/><Relationship Id="rId5" Type="http://schemas.openxmlformats.org/officeDocument/2006/relationships/table" Target="../tables/table605.xml"/><Relationship Id="rId4" Type="http://schemas.openxmlformats.org/officeDocument/2006/relationships/table" Target="../tables/table604.xml"/><Relationship Id="rId9" Type="http://schemas.openxmlformats.org/officeDocument/2006/relationships/table" Target="../tables/table609.xml"/></Relationships>
</file>

<file path=xl/worksheets/_rels/sheet78.xml.rels><?xml version="1.0" encoding="UTF-8" standalone="yes"?>
<Relationships xmlns="http://schemas.openxmlformats.org/package/2006/relationships"><Relationship Id="rId8" Type="http://schemas.openxmlformats.org/officeDocument/2006/relationships/table" Target="../tables/table616.xml"/><Relationship Id="rId3" Type="http://schemas.openxmlformats.org/officeDocument/2006/relationships/table" Target="../tables/table611.xml"/><Relationship Id="rId7" Type="http://schemas.openxmlformats.org/officeDocument/2006/relationships/table" Target="../tables/table615.xml"/><Relationship Id="rId2" Type="http://schemas.openxmlformats.org/officeDocument/2006/relationships/table" Target="../tables/table610.xml"/><Relationship Id="rId1" Type="http://schemas.openxmlformats.org/officeDocument/2006/relationships/printerSettings" Target="../printerSettings/printerSettings78.bin"/><Relationship Id="rId6" Type="http://schemas.openxmlformats.org/officeDocument/2006/relationships/table" Target="../tables/table614.xml"/><Relationship Id="rId5" Type="http://schemas.openxmlformats.org/officeDocument/2006/relationships/table" Target="../tables/table613.xml"/><Relationship Id="rId4" Type="http://schemas.openxmlformats.org/officeDocument/2006/relationships/table" Target="../tables/table612.xml"/><Relationship Id="rId9" Type="http://schemas.openxmlformats.org/officeDocument/2006/relationships/table" Target="../tables/table617.xml"/></Relationships>
</file>

<file path=xl/worksheets/_rels/sheet79.xml.rels><?xml version="1.0" encoding="UTF-8" standalone="yes"?>
<Relationships xmlns="http://schemas.openxmlformats.org/package/2006/relationships"><Relationship Id="rId8" Type="http://schemas.openxmlformats.org/officeDocument/2006/relationships/table" Target="../tables/table624.xml"/><Relationship Id="rId3" Type="http://schemas.openxmlformats.org/officeDocument/2006/relationships/table" Target="../tables/table619.xml"/><Relationship Id="rId7" Type="http://schemas.openxmlformats.org/officeDocument/2006/relationships/table" Target="../tables/table623.xml"/><Relationship Id="rId2" Type="http://schemas.openxmlformats.org/officeDocument/2006/relationships/table" Target="../tables/table618.xml"/><Relationship Id="rId1" Type="http://schemas.openxmlformats.org/officeDocument/2006/relationships/printerSettings" Target="../printerSettings/printerSettings79.bin"/><Relationship Id="rId6" Type="http://schemas.openxmlformats.org/officeDocument/2006/relationships/table" Target="../tables/table622.xml"/><Relationship Id="rId5" Type="http://schemas.openxmlformats.org/officeDocument/2006/relationships/table" Target="../tables/table621.xml"/><Relationship Id="rId4" Type="http://schemas.openxmlformats.org/officeDocument/2006/relationships/table" Target="../tables/table620.xml"/><Relationship Id="rId9" Type="http://schemas.openxmlformats.org/officeDocument/2006/relationships/table" Target="../tables/table625.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6.xml"/><Relationship Id="rId3" Type="http://schemas.openxmlformats.org/officeDocument/2006/relationships/table" Target="../tables/table51.xml"/><Relationship Id="rId7" Type="http://schemas.openxmlformats.org/officeDocument/2006/relationships/table" Target="../tables/table55.xml"/><Relationship Id="rId2" Type="http://schemas.openxmlformats.org/officeDocument/2006/relationships/table" Target="../tables/table50.xml"/><Relationship Id="rId1" Type="http://schemas.openxmlformats.org/officeDocument/2006/relationships/printerSettings" Target="../printerSettings/printerSettings8.bin"/><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 Id="rId9" Type="http://schemas.openxmlformats.org/officeDocument/2006/relationships/table" Target="../tables/table57.xml"/></Relationships>
</file>

<file path=xl/worksheets/_rels/sheet80.xml.rels><?xml version="1.0" encoding="UTF-8" standalone="yes"?>
<Relationships xmlns="http://schemas.openxmlformats.org/package/2006/relationships"><Relationship Id="rId8" Type="http://schemas.openxmlformats.org/officeDocument/2006/relationships/table" Target="../tables/table632.xml"/><Relationship Id="rId3" Type="http://schemas.openxmlformats.org/officeDocument/2006/relationships/table" Target="../tables/table627.xml"/><Relationship Id="rId7" Type="http://schemas.openxmlformats.org/officeDocument/2006/relationships/table" Target="../tables/table631.xml"/><Relationship Id="rId2" Type="http://schemas.openxmlformats.org/officeDocument/2006/relationships/table" Target="../tables/table626.xml"/><Relationship Id="rId1" Type="http://schemas.openxmlformats.org/officeDocument/2006/relationships/printerSettings" Target="../printerSettings/printerSettings80.bin"/><Relationship Id="rId6" Type="http://schemas.openxmlformats.org/officeDocument/2006/relationships/table" Target="../tables/table630.xml"/><Relationship Id="rId5" Type="http://schemas.openxmlformats.org/officeDocument/2006/relationships/table" Target="../tables/table629.xml"/><Relationship Id="rId4" Type="http://schemas.openxmlformats.org/officeDocument/2006/relationships/table" Target="../tables/table628.xml"/><Relationship Id="rId9" Type="http://schemas.openxmlformats.org/officeDocument/2006/relationships/table" Target="../tables/table633.xml"/></Relationships>
</file>

<file path=xl/worksheets/_rels/sheet81.xml.rels><?xml version="1.0" encoding="UTF-8" standalone="yes"?>
<Relationships xmlns="http://schemas.openxmlformats.org/package/2006/relationships"><Relationship Id="rId8" Type="http://schemas.openxmlformats.org/officeDocument/2006/relationships/table" Target="../tables/table640.xml"/><Relationship Id="rId3" Type="http://schemas.openxmlformats.org/officeDocument/2006/relationships/table" Target="../tables/table635.xml"/><Relationship Id="rId7" Type="http://schemas.openxmlformats.org/officeDocument/2006/relationships/table" Target="../tables/table639.xml"/><Relationship Id="rId2" Type="http://schemas.openxmlformats.org/officeDocument/2006/relationships/table" Target="../tables/table634.xml"/><Relationship Id="rId1" Type="http://schemas.openxmlformats.org/officeDocument/2006/relationships/printerSettings" Target="../printerSettings/printerSettings81.bin"/><Relationship Id="rId6" Type="http://schemas.openxmlformats.org/officeDocument/2006/relationships/table" Target="../tables/table638.xml"/><Relationship Id="rId5" Type="http://schemas.openxmlformats.org/officeDocument/2006/relationships/table" Target="../tables/table637.xml"/><Relationship Id="rId4" Type="http://schemas.openxmlformats.org/officeDocument/2006/relationships/table" Target="../tables/table636.xml"/><Relationship Id="rId9" Type="http://schemas.openxmlformats.org/officeDocument/2006/relationships/table" Target="../tables/table641.xml"/></Relationships>
</file>

<file path=xl/worksheets/_rels/sheet82.xml.rels><?xml version="1.0" encoding="UTF-8" standalone="yes"?>
<Relationships xmlns="http://schemas.openxmlformats.org/package/2006/relationships"><Relationship Id="rId8" Type="http://schemas.openxmlformats.org/officeDocument/2006/relationships/table" Target="../tables/table648.xml"/><Relationship Id="rId3" Type="http://schemas.openxmlformats.org/officeDocument/2006/relationships/table" Target="../tables/table643.xml"/><Relationship Id="rId7" Type="http://schemas.openxmlformats.org/officeDocument/2006/relationships/table" Target="../tables/table647.xml"/><Relationship Id="rId2" Type="http://schemas.openxmlformats.org/officeDocument/2006/relationships/table" Target="../tables/table642.xml"/><Relationship Id="rId1" Type="http://schemas.openxmlformats.org/officeDocument/2006/relationships/printerSettings" Target="../printerSettings/printerSettings82.bin"/><Relationship Id="rId6" Type="http://schemas.openxmlformats.org/officeDocument/2006/relationships/table" Target="../tables/table646.xml"/><Relationship Id="rId5" Type="http://schemas.openxmlformats.org/officeDocument/2006/relationships/table" Target="../tables/table645.xml"/><Relationship Id="rId4" Type="http://schemas.openxmlformats.org/officeDocument/2006/relationships/table" Target="../tables/table644.xml"/><Relationship Id="rId9" Type="http://schemas.openxmlformats.org/officeDocument/2006/relationships/table" Target="../tables/table649.xml"/></Relationships>
</file>

<file path=xl/worksheets/_rels/sheet83.xml.rels><?xml version="1.0" encoding="UTF-8" standalone="yes"?>
<Relationships xmlns="http://schemas.openxmlformats.org/package/2006/relationships"><Relationship Id="rId8" Type="http://schemas.openxmlformats.org/officeDocument/2006/relationships/table" Target="../tables/table656.xml"/><Relationship Id="rId3" Type="http://schemas.openxmlformats.org/officeDocument/2006/relationships/table" Target="../tables/table651.xml"/><Relationship Id="rId7" Type="http://schemas.openxmlformats.org/officeDocument/2006/relationships/table" Target="../tables/table655.xml"/><Relationship Id="rId2" Type="http://schemas.openxmlformats.org/officeDocument/2006/relationships/table" Target="../tables/table650.xml"/><Relationship Id="rId1" Type="http://schemas.openxmlformats.org/officeDocument/2006/relationships/printerSettings" Target="../printerSettings/printerSettings83.bin"/><Relationship Id="rId6" Type="http://schemas.openxmlformats.org/officeDocument/2006/relationships/table" Target="../tables/table654.xml"/><Relationship Id="rId5" Type="http://schemas.openxmlformats.org/officeDocument/2006/relationships/table" Target="../tables/table653.xml"/><Relationship Id="rId4" Type="http://schemas.openxmlformats.org/officeDocument/2006/relationships/table" Target="../tables/table652.xml"/><Relationship Id="rId9" Type="http://schemas.openxmlformats.org/officeDocument/2006/relationships/table" Target="../tables/table657.xml"/></Relationships>
</file>

<file path=xl/worksheets/_rels/sheet84.xml.rels><?xml version="1.0" encoding="UTF-8" standalone="yes"?>
<Relationships xmlns="http://schemas.openxmlformats.org/package/2006/relationships"><Relationship Id="rId8" Type="http://schemas.openxmlformats.org/officeDocument/2006/relationships/table" Target="../tables/table664.xml"/><Relationship Id="rId3" Type="http://schemas.openxmlformats.org/officeDocument/2006/relationships/table" Target="../tables/table659.xml"/><Relationship Id="rId7" Type="http://schemas.openxmlformats.org/officeDocument/2006/relationships/table" Target="../tables/table663.xml"/><Relationship Id="rId2" Type="http://schemas.openxmlformats.org/officeDocument/2006/relationships/table" Target="../tables/table658.xml"/><Relationship Id="rId1" Type="http://schemas.openxmlformats.org/officeDocument/2006/relationships/printerSettings" Target="../printerSettings/printerSettings84.bin"/><Relationship Id="rId6" Type="http://schemas.openxmlformats.org/officeDocument/2006/relationships/table" Target="../tables/table662.xml"/><Relationship Id="rId5" Type="http://schemas.openxmlformats.org/officeDocument/2006/relationships/table" Target="../tables/table661.xml"/><Relationship Id="rId4" Type="http://schemas.openxmlformats.org/officeDocument/2006/relationships/table" Target="../tables/table660.xml"/><Relationship Id="rId9" Type="http://schemas.openxmlformats.org/officeDocument/2006/relationships/table" Target="../tables/table665.xml"/></Relationships>
</file>

<file path=xl/worksheets/_rels/sheet85.xml.rels><?xml version="1.0" encoding="UTF-8" standalone="yes"?>
<Relationships xmlns="http://schemas.openxmlformats.org/package/2006/relationships"><Relationship Id="rId8" Type="http://schemas.openxmlformats.org/officeDocument/2006/relationships/table" Target="../tables/table672.xml"/><Relationship Id="rId3" Type="http://schemas.openxmlformats.org/officeDocument/2006/relationships/table" Target="../tables/table667.xml"/><Relationship Id="rId7" Type="http://schemas.openxmlformats.org/officeDocument/2006/relationships/table" Target="../tables/table671.xml"/><Relationship Id="rId2" Type="http://schemas.openxmlformats.org/officeDocument/2006/relationships/table" Target="../tables/table666.xml"/><Relationship Id="rId1" Type="http://schemas.openxmlformats.org/officeDocument/2006/relationships/printerSettings" Target="../printerSettings/printerSettings85.bin"/><Relationship Id="rId6" Type="http://schemas.openxmlformats.org/officeDocument/2006/relationships/table" Target="../tables/table670.xml"/><Relationship Id="rId5" Type="http://schemas.openxmlformats.org/officeDocument/2006/relationships/table" Target="../tables/table669.xml"/><Relationship Id="rId4" Type="http://schemas.openxmlformats.org/officeDocument/2006/relationships/table" Target="../tables/table668.xml"/><Relationship Id="rId9" Type="http://schemas.openxmlformats.org/officeDocument/2006/relationships/table" Target="../tables/table673.xml"/></Relationships>
</file>

<file path=xl/worksheets/_rels/sheet86.xml.rels><?xml version="1.0" encoding="UTF-8" standalone="yes"?>
<Relationships xmlns="http://schemas.openxmlformats.org/package/2006/relationships"><Relationship Id="rId8" Type="http://schemas.openxmlformats.org/officeDocument/2006/relationships/table" Target="../tables/table680.xml"/><Relationship Id="rId3" Type="http://schemas.openxmlformats.org/officeDocument/2006/relationships/table" Target="../tables/table675.xml"/><Relationship Id="rId7" Type="http://schemas.openxmlformats.org/officeDocument/2006/relationships/table" Target="../tables/table679.xml"/><Relationship Id="rId2" Type="http://schemas.openxmlformats.org/officeDocument/2006/relationships/table" Target="../tables/table674.xml"/><Relationship Id="rId1" Type="http://schemas.openxmlformats.org/officeDocument/2006/relationships/printerSettings" Target="../printerSettings/printerSettings86.bin"/><Relationship Id="rId6" Type="http://schemas.openxmlformats.org/officeDocument/2006/relationships/table" Target="../tables/table678.xml"/><Relationship Id="rId5" Type="http://schemas.openxmlformats.org/officeDocument/2006/relationships/table" Target="../tables/table677.xml"/><Relationship Id="rId4" Type="http://schemas.openxmlformats.org/officeDocument/2006/relationships/table" Target="../tables/table676.xml"/><Relationship Id="rId9" Type="http://schemas.openxmlformats.org/officeDocument/2006/relationships/table" Target="../tables/table681.xml"/></Relationships>
</file>

<file path=xl/worksheets/_rels/sheet87.xml.rels><?xml version="1.0" encoding="UTF-8" standalone="yes"?>
<Relationships xmlns="http://schemas.openxmlformats.org/package/2006/relationships"><Relationship Id="rId8" Type="http://schemas.openxmlformats.org/officeDocument/2006/relationships/table" Target="../tables/table688.xml"/><Relationship Id="rId3" Type="http://schemas.openxmlformats.org/officeDocument/2006/relationships/table" Target="../tables/table683.xml"/><Relationship Id="rId7" Type="http://schemas.openxmlformats.org/officeDocument/2006/relationships/table" Target="../tables/table687.xml"/><Relationship Id="rId2" Type="http://schemas.openxmlformats.org/officeDocument/2006/relationships/table" Target="../tables/table682.xml"/><Relationship Id="rId1" Type="http://schemas.openxmlformats.org/officeDocument/2006/relationships/printerSettings" Target="../printerSettings/printerSettings87.bin"/><Relationship Id="rId6" Type="http://schemas.openxmlformats.org/officeDocument/2006/relationships/table" Target="../tables/table686.xml"/><Relationship Id="rId5" Type="http://schemas.openxmlformats.org/officeDocument/2006/relationships/table" Target="../tables/table685.xml"/><Relationship Id="rId4" Type="http://schemas.openxmlformats.org/officeDocument/2006/relationships/table" Target="../tables/table684.xml"/><Relationship Id="rId9" Type="http://schemas.openxmlformats.org/officeDocument/2006/relationships/table" Target="../tables/table689.xml"/></Relationships>
</file>

<file path=xl/worksheets/_rels/sheet88.xml.rels><?xml version="1.0" encoding="UTF-8" standalone="yes"?>
<Relationships xmlns="http://schemas.openxmlformats.org/package/2006/relationships"><Relationship Id="rId8" Type="http://schemas.openxmlformats.org/officeDocument/2006/relationships/table" Target="../tables/table696.xml"/><Relationship Id="rId3" Type="http://schemas.openxmlformats.org/officeDocument/2006/relationships/table" Target="../tables/table691.xml"/><Relationship Id="rId7" Type="http://schemas.openxmlformats.org/officeDocument/2006/relationships/table" Target="../tables/table695.xml"/><Relationship Id="rId2" Type="http://schemas.openxmlformats.org/officeDocument/2006/relationships/table" Target="../tables/table690.xml"/><Relationship Id="rId1" Type="http://schemas.openxmlformats.org/officeDocument/2006/relationships/printerSettings" Target="../printerSettings/printerSettings88.bin"/><Relationship Id="rId6" Type="http://schemas.openxmlformats.org/officeDocument/2006/relationships/table" Target="../tables/table694.xml"/><Relationship Id="rId5" Type="http://schemas.openxmlformats.org/officeDocument/2006/relationships/table" Target="../tables/table693.xml"/><Relationship Id="rId4" Type="http://schemas.openxmlformats.org/officeDocument/2006/relationships/table" Target="../tables/table692.xml"/><Relationship Id="rId9" Type="http://schemas.openxmlformats.org/officeDocument/2006/relationships/table" Target="../tables/table697.xml"/></Relationships>
</file>

<file path=xl/worksheets/_rels/sheet89.xml.rels><?xml version="1.0" encoding="UTF-8" standalone="yes"?>
<Relationships xmlns="http://schemas.openxmlformats.org/package/2006/relationships"><Relationship Id="rId8" Type="http://schemas.openxmlformats.org/officeDocument/2006/relationships/table" Target="../tables/table704.xml"/><Relationship Id="rId3" Type="http://schemas.openxmlformats.org/officeDocument/2006/relationships/table" Target="../tables/table699.xml"/><Relationship Id="rId7" Type="http://schemas.openxmlformats.org/officeDocument/2006/relationships/table" Target="../tables/table703.xml"/><Relationship Id="rId2" Type="http://schemas.openxmlformats.org/officeDocument/2006/relationships/table" Target="../tables/table698.xml"/><Relationship Id="rId1" Type="http://schemas.openxmlformats.org/officeDocument/2006/relationships/printerSettings" Target="../printerSettings/printerSettings89.bin"/><Relationship Id="rId6" Type="http://schemas.openxmlformats.org/officeDocument/2006/relationships/table" Target="../tables/table702.xml"/><Relationship Id="rId5" Type="http://schemas.openxmlformats.org/officeDocument/2006/relationships/table" Target="../tables/table701.xml"/><Relationship Id="rId4" Type="http://schemas.openxmlformats.org/officeDocument/2006/relationships/table" Target="../tables/table700.xml"/><Relationship Id="rId9" Type="http://schemas.openxmlformats.org/officeDocument/2006/relationships/table" Target="../tables/table705.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table" Target="../tables/table58.xml"/><Relationship Id="rId1" Type="http://schemas.openxmlformats.org/officeDocument/2006/relationships/printerSettings" Target="../printerSettings/printerSettings9.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 Id="rId9" Type="http://schemas.openxmlformats.org/officeDocument/2006/relationships/table" Target="../tables/table65.xml"/></Relationships>
</file>

<file path=xl/worksheets/_rels/sheet90.xml.rels><?xml version="1.0" encoding="UTF-8" standalone="yes"?>
<Relationships xmlns="http://schemas.openxmlformats.org/package/2006/relationships"><Relationship Id="rId8" Type="http://schemas.openxmlformats.org/officeDocument/2006/relationships/table" Target="../tables/table712.xml"/><Relationship Id="rId3" Type="http://schemas.openxmlformats.org/officeDocument/2006/relationships/table" Target="../tables/table707.xml"/><Relationship Id="rId7" Type="http://schemas.openxmlformats.org/officeDocument/2006/relationships/table" Target="../tables/table711.xml"/><Relationship Id="rId2" Type="http://schemas.openxmlformats.org/officeDocument/2006/relationships/table" Target="../tables/table706.xml"/><Relationship Id="rId1" Type="http://schemas.openxmlformats.org/officeDocument/2006/relationships/printerSettings" Target="../printerSettings/printerSettings90.bin"/><Relationship Id="rId6" Type="http://schemas.openxmlformats.org/officeDocument/2006/relationships/table" Target="../tables/table710.xml"/><Relationship Id="rId5" Type="http://schemas.openxmlformats.org/officeDocument/2006/relationships/table" Target="../tables/table709.xml"/><Relationship Id="rId4" Type="http://schemas.openxmlformats.org/officeDocument/2006/relationships/table" Target="../tables/table708.xml"/><Relationship Id="rId9" Type="http://schemas.openxmlformats.org/officeDocument/2006/relationships/table" Target="../tables/table713.xml"/></Relationships>
</file>

<file path=xl/worksheets/_rels/sheet91.xml.rels><?xml version="1.0" encoding="UTF-8" standalone="yes"?>
<Relationships xmlns="http://schemas.openxmlformats.org/package/2006/relationships"><Relationship Id="rId8" Type="http://schemas.openxmlformats.org/officeDocument/2006/relationships/table" Target="../tables/table720.xml"/><Relationship Id="rId3" Type="http://schemas.openxmlformats.org/officeDocument/2006/relationships/table" Target="../tables/table715.xml"/><Relationship Id="rId7" Type="http://schemas.openxmlformats.org/officeDocument/2006/relationships/table" Target="../tables/table719.xml"/><Relationship Id="rId2" Type="http://schemas.openxmlformats.org/officeDocument/2006/relationships/table" Target="../tables/table714.xml"/><Relationship Id="rId1" Type="http://schemas.openxmlformats.org/officeDocument/2006/relationships/printerSettings" Target="../printerSettings/printerSettings91.bin"/><Relationship Id="rId6" Type="http://schemas.openxmlformats.org/officeDocument/2006/relationships/table" Target="../tables/table718.xml"/><Relationship Id="rId5" Type="http://schemas.openxmlformats.org/officeDocument/2006/relationships/table" Target="../tables/table717.xml"/><Relationship Id="rId4" Type="http://schemas.openxmlformats.org/officeDocument/2006/relationships/table" Target="../tables/table716.xml"/><Relationship Id="rId9" Type="http://schemas.openxmlformats.org/officeDocument/2006/relationships/table" Target="../tables/table721.xml"/></Relationships>
</file>

<file path=xl/worksheets/_rels/sheet92.xml.rels><?xml version="1.0" encoding="UTF-8" standalone="yes"?>
<Relationships xmlns="http://schemas.openxmlformats.org/package/2006/relationships"><Relationship Id="rId8" Type="http://schemas.openxmlformats.org/officeDocument/2006/relationships/table" Target="../tables/table728.xml"/><Relationship Id="rId3" Type="http://schemas.openxmlformats.org/officeDocument/2006/relationships/table" Target="../tables/table723.xml"/><Relationship Id="rId7" Type="http://schemas.openxmlformats.org/officeDocument/2006/relationships/table" Target="../tables/table727.xml"/><Relationship Id="rId2" Type="http://schemas.openxmlformats.org/officeDocument/2006/relationships/table" Target="../tables/table722.xml"/><Relationship Id="rId1" Type="http://schemas.openxmlformats.org/officeDocument/2006/relationships/printerSettings" Target="../printerSettings/printerSettings92.bin"/><Relationship Id="rId6" Type="http://schemas.openxmlformats.org/officeDocument/2006/relationships/table" Target="../tables/table726.xml"/><Relationship Id="rId5" Type="http://schemas.openxmlformats.org/officeDocument/2006/relationships/table" Target="../tables/table725.xml"/><Relationship Id="rId4" Type="http://schemas.openxmlformats.org/officeDocument/2006/relationships/table" Target="../tables/table724.xml"/><Relationship Id="rId9" Type="http://schemas.openxmlformats.org/officeDocument/2006/relationships/table" Target="../tables/table729.xml"/></Relationships>
</file>

<file path=xl/worksheets/_rels/sheet93.xml.rels><?xml version="1.0" encoding="UTF-8" standalone="yes"?>
<Relationships xmlns="http://schemas.openxmlformats.org/package/2006/relationships"><Relationship Id="rId8" Type="http://schemas.openxmlformats.org/officeDocument/2006/relationships/table" Target="../tables/table736.xml"/><Relationship Id="rId3" Type="http://schemas.openxmlformats.org/officeDocument/2006/relationships/table" Target="../tables/table731.xml"/><Relationship Id="rId7" Type="http://schemas.openxmlformats.org/officeDocument/2006/relationships/table" Target="../tables/table735.xml"/><Relationship Id="rId2" Type="http://schemas.openxmlformats.org/officeDocument/2006/relationships/table" Target="../tables/table730.xml"/><Relationship Id="rId1" Type="http://schemas.openxmlformats.org/officeDocument/2006/relationships/printerSettings" Target="../printerSettings/printerSettings93.bin"/><Relationship Id="rId6" Type="http://schemas.openxmlformats.org/officeDocument/2006/relationships/table" Target="../tables/table734.xml"/><Relationship Id="rId5" Type="http://schemas.openxmlformats.org/officeDocument/2006/relationships/table" Target="../tables/table733.xml"/><Relationship Id="rId4" Type="http://schemas.openxmlformats.org/officeDocument/2006/relationships/table" Target="../tables/table732.xml"/><Relationship Id="rId9" Type="http://schemas.openxmlformats.org/officeDocument/2006/relationships/table" Target="../tables/table737.xml"/></Relationships>
</file>

<file path=xl/worksheets/_rels/sheet94.xml.rels><?xml version="1.0" encoding="UTF-8" standalone="yes"?>
<Relationships xmlns="http://schemas.openxmlformats.org/package/2006/relationships"><Relationship Id="rId8" Type="http://schemas.openxmlformats.org/officeDocument/2006/relationships/table" Target="../tables/table744.xml"/><Relationship Id="rId3" Type="http://schemas.openxmlformats.org/officeDocument/2006/relationships/table" Target="../tables/table739.xml"/><Relationship Id="rId7" Type="http://schemas.openxmlformats.org/officeDocument/2006/relationships/table" Target="../tables/table743.xml"/><Relationship Id="rId2" Type="http://schemas.openxmlformats.org/officeDocument/2006/relationships/table" Target="../tables/table738.xml"/><Relationship Id="rId1" Type="http://schemas.openxmlformats.org/officeDocument/2006/relationships/printerSettings" Target="../printerSettings/printerSettings94.bin"/><Relationship Id="rId6" Type="http://schemas.openxmlformats.org/officeDocument/2006/relationships/table" Target="../tables/table742.xml"/><Relationship Id="rId5" Type="http://schemas.openxmlformats.org/officeDocument/2006/relationships/table" Target="../tables/table741.xml"/><Relationship Id="rId4" Type="http://schemas.openxmlformats.org/officeDocument/2006/relationships/table" Target="../tables/table740.xml"/><Relationship Id="rId9" Type="http://schemas.openxmlformats.org/officeDocument/2006/relationships/table" Target="../tables/table745.xml"/></Relationships>
</file>

<file path=xl/worksheets/_rels/sheet95.xml.rels><?xml version="1.0" encoding="UTF-8" standalone="yes"?>
<Relationships xmlns="http://schemas.openxmlformats.org/package/2006/relationships"><Relationship Id="rId8" Type="http://schemas.openxmlformats.org/officeDocument/2006/relationships/table" Target="../tables/table752.xml"/><Relationship Id="rId3" Type="http://schemas.openxmlformats.org/officeDocument/2006/relationships/table" Target="../tables/table747.xml"/><Relationship Id="rId7" Type="http://schemas.openxmlformats.org/officeDocument/2006/relationships/table" Target="../tables/table751.xml"/><Relationship Id="rId2" Type="http://schemas.openxmlformats.org/officeDocument/2006/relationships/table" Target="../tables/table746.xml"/><Relationship Id="rId1" Type="http://schemas.openxmlformats.org/officeDocument/2006/relationships/printerSettings" Target="../printerSettings/printerSettings95.bin"/><Relationship Id="rId6" Type="http://schemas.openxmlformats.org/officeDocument/2006/relationships/table" Target="../tables/table750.xml"/><Relationship Id="rId5" Type="http://schemas.openxmlformats.org/officeDocument/2006/relationships/table" Target="../tables/table749.xml"/><Relationship Id="rId4" Type="http://schemas.openxmlformats.org/officeDocument/2006/relationships/table" Target="../tables/table748.xml"/><Relationship Id="rId9" Type="http://schemas.openxmlformats.org/officeDocument/2006/relationships/table" Target="../tables/table753.xml"/></Relationships>
</file>

<file path=xl/worksheets/_rels/sheet96.xml.rels><?xml version="1.0" encoding="UTF-8" standalone="yes"?>
<Relationships xmlns="http://schemas.openxmlformats.org/package/2006/relationships"><Relationship Id="rId8" Type="http://schemas.openxmlformats.org/officeDocument/2006/relationships/table" Target="../tables/table760.xml"/><Relationship Id="rId3" Type="http://schemas.openxmlformats.org/officeDocument/2006/relationships/table" Target="../tables/table755.xml"/><Relationship Id="rId7" Type="http://schemas.openxmlformats.org/officeDocument/2006/relationships/table" Target="../tables/table759.xml"/><Relationship Id="rId2" Type="http://schemas.openxmlformats.org/officeDocument/2006/relationships/table" Target="../tables/table754.xml"/><Relationship Id="rId1" Type="http://schemas.openxmlformats.org/officeDocument/2006/relationships/printerSettings" Target="../printerSettings/printerSettings96.bin"/><Relationship Id="rId6" Type="http://schemas.openxmlformats.org/officeDocument/2006/relationships/table" Target="../tables/table758.xml"/><Relationship Id="rId5" Type="http://schemas.openxmlformats.org/officeDocument/2006/relationships/table" Target="../tables/table757.xml"/><Relationship Id="rId4" Type="http://schemas.openxmlformats.org/officeDocument/2006/relationships/table" Target="../tables/table756.xml"/><Relationship Id="rId9" Type="http://schemas.openxmlformats.org/officeDocument/2006/relationships/table" Target="../tables/table761.xml"/></Relationships>
</file>

<file path=xl/worksheets/_rels/sheet97.xml.rels><?xml version="1.0" encoding="UTF-8" standalone="yes"?>
<Relationships xmlns="http://schemas.openxmlformats.org/package/2006/relationships"><Relationship Id="rId8" Type="http://schemas.openxmlformats.org/officeDocument/2006/relationships/table" Target="../tables/table768.xml"/><Relationship Id="rId3" Type="http://schemas.openxmlformats.org/officeDocument/2006/relationships/table" Target="../tables/table763.xml"/><Relationship Id="rId7" Type="http://schemas.openxmlformats.org/officeDocument/2006/relationships/table" Target="../tables/table767.xml"/><Relationship Id="rId2" Type="http://schemas.openxmlformats.org/officeDocument/2006/relationships/table" Target="../tables/table762.xml"/><Relationship Id="rId1" Type="http://schemas.openxmlformats.org/officeDocument/2006/relationships/printerSettings" Target="../printerSettings/printerSettings97.bin"/><Relationship Id="rId6" Type="http://schemas.openxmlformats.org/officeDocument/2006/relationships/table" Target="../tables/table766.xml"/><Relationship Id="rId5" Type="http://schemas.openxmlformats.org/officeDocument/2006/relationships/table" Target="../tables/table765.xml"/><Relationship Id="rId4" Type="http://schemas.openxmlformats.org/officeDocument/2006/relationships/table" Target="../tables/table764.xml"/><Relationship Id="rId9" Type="http://schemas.openxmlformats.org/officeDocument/2006/relationships/table" Target="../tables/table769.xml"/></Relationships>
</file>

<file path=xl/worksheets/_rels/sheet98.xml.rels><?xml version="1.0" encoding="UTF-8" standalone="yes"?>
<Relationships xmlns="http://schemas.openxmlformats.org/package/2006/relationships"><Relationship Id="rId8" Type="http://schemas.openxmlformats.org/officeDocument/2006/relationships/table" Target="../tables/table776.xml"/><Relationship Id="rId3" Type="http://schemas.openxmlformats.org/officeDocument/2006/relationships/table" Target="../tables/table771.xml"/><Relationship Id="rId7" Type="http://schemas.openxmlformats.org/officeDocument/2006/relationships/table" Target="../tables/table775.xml"/><Relationship Id="rId2" Type="http://schemas.openxmlformats.org/officeDocument/2006/relationships/table" Target="../tables/table770.xml"/><Relationship Id="rId1" Type="http://schemas.openxmlformats.org/officeDocument/2006/relationships/printerSettings" Target="../printerSettings/printerSettings98.bin"/><Relationship Id="rId6" Type="http://schemas.openxmlformats.org/officeDocument/2006/relationships/table" Target="../tables/table774.xml"/><Relationship Id="rId5" Type="http://schemas.openxmlformats.org/officeDocument/2006/relationships/table" Target="../tables/table773.xml"/><Relationship Id="rId4" Type="http://schemas.openxmlformats.org/officeDocument/2006/relationships/table" Target="../tables/table772.xml"/><Relationship Id="rId9" Type="http://schemas.openxmlformats.org/officeDocument/2006/relationships/table" Target="../tables/table777.xml"/></Relationships>
</file>

<file path=xl/worksheets/_rels/sheet99.xml.rels><?xml version="1.0" encoding="UTF-8" standalone="yes"?>
<Relationships xmlns="http://schemas.openxmlformats.org/package/2006/relationships"><Relationship Id="rId8" Type="http://schemas.openxmlformats.org/officeDocument/2006/relationships/table" Target="../tables/table784.xml"/><Relationship Id="rId3" Type="http://schemas.openxmlformats.org/officeDocument/2006/relationships/table" Target="../tables/table779.xml"/><Relationship Id="rId7" Type="http://schemas.openxmlformats.org/officeDocument/2006/relationships/table" Target="../tables/table783.xml"/><Relationship Id="rId2" Type="http://schemas.openxmlformats.org/officeDocument/2006/relationships/table" Target="../tables/table778.xml"/><Relationship Id="rId1" Type="http://schemas.openxmlformats.org/officeDocument/2006/relationships/printerSettings" Target="../printerSettings/printerSettings99.bin"/><Relationship Id="rId6" Type="http://schemas.openxmlformats.org/officeDocument/2006/relationships/table" Target="../tables/table782.xml"/><Relationship Id="rId5" Type="http://schemas.openxmlformats.org/officeDocument/2006/relationships/table" Target="../tables/table781.xml"/><Relationship Id="rId4" Type="http://schemas.openxmlformats.org/officeDocument/2006/relationships/table" Target="../tables/table780.xml"/><Relationship Id="rId9" Type="http://schemas.openxmlformats.org/officeDocument/2006/relationships/table" Target="../tables/table7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P132"/>
  <sheetViews>
    <sheetView showGridLines="0" tabSelected="1" topLeftCell="F1" zoomScaleNormal="100" zoomScalePageLayoutView="70" workbookViewId="0">
      <pane ySplit="4" topLeftCell="A53" activePane="bottomLeft" state="frozen"/>
      <selection pane="bottomLeft" activeCell="C60" sqref="C60"/>
    </sheetView>
  </sheetViews>
  <sheetFormatPr defaultColWidth="9.109375" defaultRowHeight="14.4" x14ac:dyDescent="0.3"/>
  <cols>
    <col min="1" max="1" width="9.109375" style="45"/>
    <col min="2" max="2" width="30.6640625" style="45" customWidth="1"/>
    <col min="3" max="3" width="25.6640625" style="45" customWidth="1"/>
    <col min="4" max="4" width="20.6640625" style="45" customWidth="1"/>
    <col min="5" max="5" width="15.6640625" style="45" customWidth="1"/>
    <col min="6" max="13" width="14.6640625" style="45" customWidth="1"/>
    <col min="14" max="14" width="20.6640625" style="45" customWidth="1"/>
    <col min="15" max="15" width="3.6640625" style="45" customWidth="1"/>
    <col min="16" max="16384" width="9.109375" style="45"/>
  </cols>
  <sheetData>
    <row r="1" spans="1:14" ht="11.1" customHeight="1" x14ac:dyDescent="0.25"/>
    <row r="2" spans="1:14" ht="21" x14ac:dyDescent="0.35">
      <c r="A2" s="144" t="s">
        <v>39</v>
      </c>
      <c r="B2" s="144"/>
      <c r="C2" s="144"/>
      <c r="D2" s="144"/>
      <c r="E2" s="144"/>
      <c r="F2" s="144"/>
      <c r="G2" s="144"/>
      <c r="H2" s="144"/>
      <c r="I2" s="144"/>
      <c r="J2" s="144"/>
      <c r="K2" s="144"/>
      <c r="L2" s="144"/>
      <c r="M2" s="144"/>
      <c r="N2" s="46"/>
    </row>
    <row r="3" spans="1:14" ht="26.25" x14ac:dyDescent="0.4">
      <c r="A3" s="152" t="s">
        <v>40</v>
      </c>
      <c r="B3" s="152"/>
      <c r="C3" s="152"/>
      <c r="D3" s="152"/>
      <c r="E3" s="152"/>
      <c r="F3" s="152"/>
      <c r="G3" s="152"/>
      <c r="H3" s="152"/>
      <c r="I3" s="152"/>
      <c r="J3" s="152"/>
      <c r="K3" s="152"/>
      <c r="L3" s="152"/>
      <c r="M3" s="152"/>
    </row>
    <row r="4" spans="1:14" ht="11.1" customHeight="1" x14ac:dyDescent="0.4">
      <c r="B4" s="47"/>
      <c r="C4" s="47"/>
      <c r="D4" s="47"/>
      <c r="E4" s="47"/>
      <c r="F4" s="47"/>
      <c r="G4" s="47"/>
      <c r="H4" s="47"/>
      <c r="I4" s="82"/>
      <c r="J4" s="82"/>
      <c r="K4" s="82"/>
      <c r="L4" s="82"/>
      <c r="M4" s="82"/>
    </row>
    <row r="5" spans="1:14" ht="15" customHeight="1" x14ac:dyDescent="0.3">
      <c r="A5" s="148" t="s">
        <v>72</v>
      </c>
      <c r="B5" s="148"/>
      <c r="C5" s="148"/>
      <c r="D5" s="148"/>
      <c r="E5" s="148"/>
      <c r="F5" s="148"/>
      <c r="G5" s="148"/>
      <c r="H5" s="148"/>
      <c r="I5" s="148"/>
      <c r="J5" s="148"/>
      <c r="K5" s="148"/>
      <c r="L5" s="148"/>
      <c r="M5" s="148"/>
      <c r="N5" s="148"/>
    </row>
    <row r="6" spans="1:14" x14ac:dyDescent="0.3">
      <c r="A6" s="148"/>
      <c r="B6" s="148"/>
      <c r="C6" s="148"/>
      <c r="D6" s="148"/>
      <c r="E6" s="148"/>
      <c r="F6" s="148"/>
      <c r="G6" s="148"/>
      <c r="H6" s="148"/>
      <c r="I6" s="148"/>
      <c r="J6" s="148"/>
      <c r="K6" s="148"/>
      <c r="L6" s="148"/>
      <c r="M6" s="148"/>
      <c r="N6" s="148"/>
    </row>
    <row r="7" spans="1:14" x14ac:dyDescent="0.3">
      <c r="A7" s="148"/>
      <c r="B7" s="148"/>
      <c r="C7" s="148"/>
      <c r="D7" s="148"/>
      <c r="E7" s="148"/>
      <c r="F7" s="148"/>
      <c r="G7" s="148"/>
      <c r="H7" s="148"/>
      <c r="I7" s="148"/>
      <c r="J7" s="148"/>
      <c r="K7" s="148"/>
      <c r="L7" s="148"/>
      <c r="M7" s="148"/>
      <c r="N7" s="148"/>
    </row>
    <row r="8" spans="1:14" ht="6.9" customHeight="1" x14ac:dyDescent="0.25">
      <c r="A8" s="76"/>
      <c r="B8" s="76"/>
      <c r="C8" s="76"/>
      <c r="D8" s="76"/>
      <c r="E8" s="76"/>
      <c r="F8" s="76"/>
      <c r="G8" s="76"/>
      <c r="H8" s="76"/>
      <c r="I8" s="76"/>
      <c r="J8" s="76"/>
      <c r="K8" s="76"/>
      <c r="L8" s="76"/>
      <c r="M8" s="76"/>
      <c r="N8" s="76"/>
    </row>
    <row r="9" spans="1:14" ht="15" x14ac:dyDescent="0.25">
      <c r="A9" s="145" t="s">
        <v>0</v>
      </c>
      <c r="B9" s="146"/>
      <c r="C9" s="146"/>
      <c r="D9" s="146"/>
      <c r="E9" s="146"/>
      <c r="F9" s="146"/>
      <c r="G9" s="146"/>
      <c r="H9" s="146"/>
      <c r="I9" s="146"/>
      <c r="J9" s="146"/>
      <c r="K9" s="146"/>
      <c r="L9" s="146"/>
      <c r="M9" s="146"/>
      <c r="N9" s="147"/>
    </row>
    <row r="10" spans="1:14" s="49" customFormat="1" ht="15" x14ac:dyDescent="0.25">
      <c r="B10" s="48"/>
      <c r="C10" s="48"/>
      <c r="D10" s="48"/>
      <c r="E10" s="48"/>
      <c r="F10" s="48"/>
      <c r="G10" s="48"/>
      <c r="H10" s="48"/>
      <c r="I10" s="48"/>
      <c r="J10" s="48"/>
      <c r="K10" s="48"/>
      <c r="L10" s="48"/>
      <c r="M10" s="48"/>
    </row>
    <row r="11" spans="1:14" ht="15.75" x14ac:dyDescent="0.25">
      <c r="C11" s="50" t="s">
        <v>41</v>
      </c>
      <c r="D11" s="150"/>
      <c r="E11" s="150"/>
      <c r="I11" s="51" t="s">
        <v>2</v>
      </c>
      <c r="J11" s="150"/>
      <c r="K11" s="150"/>
      <c r="L11" s="51"/>
      <c r="M11" s="51"/>
    </row>
    <row r="12" spans="1:14" ht="15.75" x14ac:dyDescent="0.25">
      <c r="C12" s="50" t="s">
        <v>1</v>
      </c>
      <c r="D12" s="153"/>
      <c r="E12" s="153"/>
      <c r="I12" s="50" t="s">
        <v>3</v>
      </c>
      <c r="J12" s="151"/>
      <c r="K12" s="151"/>
      <c r="L12" s="50"/>
      <c r="M12" s="50"/>
    </row>
    <row r="13" spans="1:14" ht="11.1" customHeight="1" x14ac:dyDescent="0.25">
      <c r="B13" s="3"/>
      <c r="C13" s="3"/>
      <c r="D13" s="3"/>
      <c r="E13" s="3"/>
      <c r="F13" s="52"/>
      <c r="G13" s="53"/>
      <c r="H13" s="54"/>
      <c r="I13" s="54"/>
      <c r="J13" s="54"/>
      <c r="K13" s="54"/>
      <c r="L13" s="54"/>
      <c r="M13" s="54"/>
    </row>
    <row r="14" spans="1:14" ht="15" x14ac:dyDescent="0.25">
      <c r="A14" s="145" t="s">
        <v>6</v>
      </c>
      <c r="B14" s="146"/>
      <c r="C14" s="146"/>
      <c r="D14" s="146"/>
      <c r="E14" s="146"/>
      <c r="F14" s="146"/>
      <c r="G14" s="146"/>
      <c r="H14" s="146"/>
      <c r="I14" s="146"/>
      <c r="J14" s="146"/>
      <c r="K14" s="146"/>
      <c r="L14" s="146"/>
      <c r="M14" s="146"/>
      <c r="N14" s="147"/>
    </row>
    <row r="15" spans="1:14" s="49" customFormat="1" ht="11.1" customHeight="1" x14ac:dyDescent="0.25">
      <c r="B15" s="55"/>
      <c r="C15" s="55"/>
      <c r="D15" s="55"/>
      <c r="E15" s="55"/>
      <c r="F15" s="55"/>
      <c r="G15" s="55"/>
      <c r="H15" s="55"/>
      <c r="I15" s="55"/>
      <c r="J15" s="55"/>
      <c r="K15" s="55"/>
      <c r="L15" s="55"/>
      <c r="M15" s="55"/>
      <c r="N15" s="55"/>
    </row>
    <row r="16" spans="1:14" s="3" customFormat="1" ht="15" customHeight="1" x14ac:dyDescent="0.3">
      <c r="A16" s="148" t="s">
        <v>73</v>
      </c>
      <c r="B16" s="148"/>
      <c r="C16" s="148"/>
      <c r="D16" s="148"/>
      <c r="E16" s="148"/>
      <c r="F16" s="148"/>
      <c r="G16" s="148"/>
      <c r="H16" s="148"/>
      <c r="I16" s="148"/>
      <c r="J16" s="148"/>
      <c r="K16" s="148"/>
      <c r="L16" s="148"/>
      <c r="M16" s="148"/>
      <c r="N16" s="148"/>
    </row>
    <row r="17" spans="1:14" s="3" customFormat="1" x14ac:dyDescent="0.3">
      <c r="A17" s="148"/>
      <c r="B17" s="148"/>
      <c r="C17" s="148"/>
      <c r="D17" s="148"/>
      <c r="E17" s="148"/>
      <c r="F17" s="148"/>
      <c r="G17" s="148"/>
      <c r="H17" s="148"/>
      <c r="I17" s="148"/>
      <c r="J17" s="148"/>
      <c r="K17" s="148"/>
      <c r="L17" s="148"/>
      <c r="M17" s="148"/>
      <c r="N17" s="148"/>
    </row>
    <row r="18" spans="1:14" s="3" customFormat="1" x14ac:dyDescent="0.3">
      <c r="A18" s="148"/>
      <c r="B18" s="148"/>
      <c r="C18" s="148"/>
      <c r="D18" s="148"/>
      <c r="E18" s="148"/>
      <c r="F18" s="148"/>
      <c r="G18" s="148"/>
      <c r="H18" s="148"/>
      <c r="I18" s="148"/>
      <c r="J18" s="148"/>
      <c r="K18" s="148"/>
      <c r="L18" s="148"/>
      <c r="M18" s="148"/>
      <c r="N18" s="148"/>
    </row>
    <row r="19" spans="1:14" s="14" customFormat="1" ht="11.1" customHeight="1" x14ac:dyDescent="0.25">
      <c r="B19" s="56"/>
      <c r="C19" s="56"/>
      <c r="D19" s="56"/>
      <c r="E19" s="56"/>
      <c r="F19" s="56"/>
      <c r="G19" s="56"/>
      <c r="H19" s="56"/>
      <c r="I19" s="56"/>
      <c r="J19" s="56"/>
      <c r="K19" s="56"/>
      <c r="L19" s="56"/>
      <c r="M19" s="56"/>
      <c r="N19" s="56"/>
    </row>
    <row r="20" spans="1:14" s="3" customFormat="1" ht="24.9" customHeight="1" x14ac:dyDescent="0.25">
      <c r="C20" s="142"/>
      <c r="D20" s="142"/>
      <c r="E20" s="142"/>
      <c r="F20" s="142"/>
      <c r="G20" s="142"/>
      <c r="I20" s="7"/>
      <c r="J20" s="149"/>
      <c r="K20" s="149"/>
      <c r="L20" s="7"/>
      <c r="M20" s="7"/>
    </row>
    <row r="21" spans="1:14" s="3" customFormat="1" ht="15.75" x14ac:dyDescent="0.25">
      <c r="C21" s="57" t="s">
        <v>7</v>
      </c>
      <c r="D21" s="58"/>
      <c r="F21" s="59"/>
      <c r="J21" s="60" t="s">
        <v>8</v>
      </c>
    </row>
    <row r="22" spans="1:14" s="3" customFormat="1" ht="24.9" customHeight="1" x14ac:dyDescent="0.25">
      <c r="C22" s="143"/>
      <c r="D22" s="143"/>
      <c r="E22" s="143"/>
      <c r="F22" s="143"/>
      <c r="G22" s="143"/>
      <c r="I22" s="7"/>
      <c r="J22" s="143"/>
      <c r="K22" s="143"/>
      <c r="L22" s="7"/>
      <c r="M22" s="7"/>
    </row>
    <row r="23" spans="1:14" s="3" customFormat="1" ht="15.75" x14ac:dyDescent="0.25">
      <c r="C23" s="57" t="s">
        <v>43</v>
      </c>
      <c r="D23" s="58"/>
      <c r="F23" s="59"/>
      <c r="J23" s="60" t="s">
        <v>8</v>
      </c>
    </row>
    <row r="24" spans="1:14" ht="11.1" customHeight="1" x14ac:dyDescent="0.25">
      <c r="B24" s="61"/>
      <c r="C24" s="62"/>
      <c r="D24" s="3"/>
      <c r="E24" s="63"/>
      <c r="F24" s="3"/>
      <c r="G24" s="3"/>
      <c r="H24" s="63"/>
      <c r="I24" s="63"/>
      <c r="J24" s="63"/>
      <c r="K24" s="63"/>
      <c r="L24" s="63"/>
      <c r="M24" s="63"/>
    </row>
    <row r="25" spans="1:14" ht="15" x14ac:dyDescent="0.25">
      <c r="A25" s="145" t="s">
        <v>17</v>
      </c>
      <c r="B25" s="146"/>
      <c r="C25" s="146"/>
      <c r="D25" s="146"/>
      <c r="E25" s="146"/>
      <c r="F25" s="146"/>
      <c r="G25" s="146"/>
      <c r="H25" s="146"/>
      <c r="I25" s="146"/>
      <c r="J25" s="146"/>
      <c r="K25" s="146"/>
      <c r="L25" s="146"/>
      <c r="M25" s="146"/>
      <c r="N25" s="147"/>
    </row>
    <row r="26" spans="1:14" s="49" customFormat="1" ht="11.1" customHeight="1" x14ac:dyDescent="0.25">
      <c r="B26" s="48"/>
      <c r="C26" s="48"/>
      <c r="D26" s="48"/>
      <c r="E26" s="48"/>
      <c r="F26" s="48"/>
      <c r="G26" s="48"/>
      <c r="H26" s="48"/>
      <c r="I26" s="48"/>
      <c r="J26" s="48"/>
      <c r="K26" s="48"/>
      <c r="L26" s="48"/>
      <c r="M26" s="48"/>
    </row>
    <row r="27" spans="1:14" ht="15.75" customHeight="1" x14ac:dyDescent="0.25">
      <c r="B27" s="51" t="s">
        <v>4</v>
      </c>
      <c r="C27" s="77"/>
      <c r="D27" s="52" t="s">
        <v>5</v>
      </c>
      <c r="E27" s="149"/>
      <c r="F27" s="149"/>
      <c r="G27" s="48"/>
      <c r="H27" s="64" t="s">
        <v>14</v>
      </c>
      <c r="I27" s="64"/>
      <c r="J27" s="65" t="s">
        <v>37</v>
      </c>
      <c r="L27" s="64"/>
      <c r="M27" s="64"/>
    </row>
    <row r="28" spans="1:14" s="49" customFormat="1" ht="15.75" customHeight="1" x14ac:dyDescent="0.25">
      <c r="B28" s="66"/>
      <c r="C28" s="67"/>
      <c r="D28" s="68"/>
      <c r="E28" s="69"/>
      <c r="F28" s="69"/>
      <c r="G28" s="48"/>
      <c r="H28" s="48"/>
      <c r="I28" s="48"/>
      <c r="J28" s="70" t="s">
        <v>42</v>
      </c>
      <c r="L28" s="48"/>
      <c r="M28" s="48"/>
    </row>
    <row r="29" spans="1:14" s="72" customFormat="1" ht="11.1" customHeight="1" x14ac:dyDescent="0.25">
      <c r="B29" s="64"/>
      <c r="C29" s="70"/>
      <c r="D29" s="62"/>
      <c r="E29" s="71"/>
      <c r="F29" s="63"/>
      <c r="G29" s="70"/>
      <c r="H29" s="71"/>
      <c r="I29" s="71"/>
      <c r="J29" s="71"/>
      <c r="K29" s="71"/>
      <c r="L29" s="71"/>
      <c r="M29" s="71"/>
    </row>
    <row r="30" spans="1:14" s="72" customFormat="1" ht="15" customHeight="1" x14ac:dyDescent="0.25">
      <c r="A30" s="156" t="s">
        <v>38</v>
      </c>
      <c r="B30" s="157"/>
      <c r="C30" s="157"/>
      <c r="D30" s="157"/>
      <c r="E30" s="157"/>
      <c r="F30" s="157"/>
      <c r="G30" s="157"/>
      <c r="H30" s="157"/>
      <c r="I30" s="157"/>
      <c r="J30" s="157"/>
      <c r="K30" s="157"/>
      <c r="L30" s="157"/>
      <c r="M30" s="157"/>
      <c r="N30" s="158"/>
    </row>
    <row r="31" spans="1:14" s="70" customFormat="1" ht="24.9" customHeight="1" x14ac:dyDescent="0.25">
      <c r="A31" s="155" t="s">
        <v>15</v>
      </c>
      <c r="B31" s="155"/>
      <c r="C31" s="155"/>
      <c r="D31" s="154">
        <f>COUNTA(Summary_Sheet[Property Address])</f>
        <v>100</v>
      </c>
      <c r="E31" s="154"/>
      <c r="F31" s="155" t="s">
        <v>16</v>
      </c>
      <c r="G31" s="155"/>
      <c r="H31" s="155"/>
      <c r="I31" s="155"/>
      <c r="J31" s="155"/>
      <c r="K31" s="155"/>
      <c r="L31" s="155"/>
      <c r="M31" s="155"/>
      <c r="N31" s="99">
        <f>SUM(Summary_Sheet[Total Requested              Loan Amount])</f>
        <v>2510550</v>
      </c>
    </row>
    <row r="32" spans="1:14" s="73" customFormat="1" ht="121.5" customHeight="1" x14ac:dyDescent="0.25">
      <c r="A32" s="85" t="s">
        <v>35</v>
      </c>
      <c r="B32" s="85" t="s">
        <v>12</v>
      </c>
      <c r="C32" s="85" t="s">
        <v>13</v>
      </c>
      <c r="D32" s="86" t="s">
        <v>9</v>
      </c>
      <c r="E32" s="87" t="s">
        <v>10</v>
      </c>
      <c r="F32" s="88" t="s">
        <v>50</v>
      </c>
      <c r="G32" s="88" t="s">
        <v>49</v>
      </c>
      <c r="H32" s="88" t="s">
        <v>47</v>
      </c>
      <c r="I32" s="88" t="s">
        <v>48</v>
      </c>
      <c r="J32" s="88" t="s">
        <v>45</v>
      </c>
      <c r="K32" s="88" t="s">
        <v>46</v>
      </c>
      <c r="L32" s="88" t="s">
        <v>11</v>
      </c>
      <c r="M32" s="88" t="s">
        <v>44</v>
      </c>
      <c r="N32" s="88" t="s">
        <v>18</v>
      </c>
    </row>
    <row r="33" spans="1:14" s="74" customFormat="1" ht="15" x14ac:dyDescent="0.2">
      <c r="A33" s="94">
        <v>1</v>
      </c>
      <c r="B33" s="139" t="s">
        <v>88</v>
      </c>
      <c r="C33" s="126"/>
      <c r="D33" s="78" t="s">
        <v>74</v>
      </c>
      <c r="E33" s="79" t="s">
        <v>84</v>
      </c>
      <c r="F33" s="137">
        <f>SUM(Grass_1[Amount])</f>
        <v>0</v>
      </c>
      <c r="G33" s="84">
        <f>SUM(Tree_1[Amount])</f>
        <v>0</v>
      </c>
      <c r="H33" s="84">
        <f>SUM(Pest_1[Amount])</f>
        <v>0</v>
      </c>
      <c r="I33" s="84">
        <f>SUM(Garbage_1[Amount])</f>
        <v>0</v>
      </c>
      <c r="J33" s="84">
        <f>SUM(Boarding_1[Amount])</f>
        <v>0</v>
      </c>
      <c r="K33" s="84">
        <f>SUM(Fence_1[Amount])</f>
        <v>0</v>
      </c>
      <c r="L33" s="84">
        <f>SUM(Demolition_1[Amount])</f>
        <v>49500</v>
      </c>
      <c r="M33" s="84">
        <f>SUM(Rehab_1[Amount])</f>
        <v>0</v>
      </c>
      <c r="N33" s="91">
        <f>SUM(Summary_Sheet[[#This Row],[Cutting grass/ neglected weeds]:[Rehabilitation]])</f>
        <v>49500</v>
      </c>
    </row>
    <row r="34" spans="1:14" s="74" customFormat="1" ht="15" x14ac:dyDescent="0.2">
      <c r="A34" s="95">
        <v>2</v>
      </c>
      <c r="B34" s="139" t="s">
        <v>89</v>
      </c>
      <c r="C34" s="127"/>
      <c r="D34" s="80" t="s">
        <v>75</v>
      </c>
      <c r="E34" s="81" t="s">
        <v>107</v>
      </c>
      <c r="F34" s="121">
        <f>SUM(Grass_2[Amount])</f>
        <v>0</v>
      </c>
      <c r="G34" s="122">
        <f>SUM(Tree_2[Amount])</f>
        <v>0</v>
      </c>
      <c r="H34" s="122">
        <f>SUM(Pest_2[Amount])</f>
        <v>0</v>
      </c>
      <c r="I34" s="122">
        <f>SUM(Garbage_2[Amount])</f>
        <v>0</v>
      </c>
      <c r="J34" s="122">
        <f>SUM(Boarding_2[Amount])</f>
        <v>0</v>
      </c>
      <c r="K34" s="122">
        <f>SUM(Fence_2[Amount])</f>
        <v>0</v>
      </c>
      <c r="L34" s="122">
        <f>SUM(Demolition_2[Amount])</f>
        <v>14210</v>
      </c>
      <c r="M34" s="122">
        <f>SUM(Rehab_2[Amount])</f>
        <v>0</v>
      </c>
      <c r="N34" s="124">
        <f>SUM(Summary_Sheet[[#This Row],[Cutting grass/ neglected weeds]:[Rehabilitation]])</f>
        <v>14210</v>
      </c>
    </row>
    <row r="35" spans="1:14" s="74" customFormat="1" ht="15" x14ac:dyDescent="0.2">
      <c r="A35" s="92">
        <v>3</v>
      </c>
      <c r="B35" s="139" t="s">
        <v>90</v>
      </c>
      <c r="C35" s="126"/>
      <c r="D35" s="78" t="s">
        <v>76</v>
      </c>
      <c r="E35" s="79" t="s">
        <v>84</v>
      </c>
      <c r="F35" s="83">
        <f>SUM(Grass_3[Amount])</f>
        <v>0</v>
      </c>
      <c r="G35" s="84">
        <f>SUM(Tree_3[Amount])</f>
        <v>0</v>
      </c>
      <c r="H35" s="84">
        <f>SUM(Pest_3[Amount])</f>
        <v>0</v>
      </c>
      <c r="I35" s="84">
        <f>SUM(Garbage_3[Amount])</f>
        <v>0</v>
      </c>
      <c r="J35" s="84">
        <f>SUM(Boarding_3[Amount])</f>
        <v>0</v>
      </c>
      <c r="K35" s="84">
        <f>SUM(Fence_3[Amount])</f>
        <v>0</v>
      </c>
      <c r="L35" s="84">
        <f>SUM(Demolition_3[Amount])</f>
        <v>32210</v>
      </c>
      <c r="M35" s="84">
        <f>SUM(Rehab_3[Amount])</f>
        <v>0</v>
      </c>
      <c r="N35" s="123">
        <f>SUM(Summary_Sheet[[#This Row],[Cutting grass/ neglected weeds]:[Rehabilitation]])</f>
        <v>32210</v>
      </c>
    </row>
    <row r="36" spans="1:14" s="74" customFormat="1" ht="15" x14ac:dyDescent="0.2">
      <c r="A36" s="95">
        <v>4</v>
      </c>
      <c r="B36" s="139" t="s">
        <v>91</v>
      </c>
      <c r="C36" s="127"/>
      <c r="D36" s="80" t="s">
        <v>76</v>
      </c>
      <c r="E36" s="81" t="s">
        <v>84</v>
      </c>
      <c r="F36" s="121">
        <f>SUM(Grass_4[Amount])</f>
        <v>0</v>
      </c>
      <c r="G36" s="122">
        <f>SUM(Tree_4[Amount])</f>
        <v>0</v>
      </c>
      <c r="H36" s="122">
        <f>SUM(Pest_4[Amount])</f>
        <v>0</v>
      </c>
      <c r="I36" s="122">
        <f>SUM(Garbage_4[Amount])</f>
        <v>0</v>
      </c>
      <c r="J36" s="122">
        <f>SUM(Boarding_4[Amount])</f>
        <v>0</v>
      </c>
      <c r="K36" s="122">
        <f>SUM(Fence_4[Amount])</f>
        <v>0</v>
      </c>
      <c r="L36" s="122">
        <f>SUM(Demolition_4[Amount])</f>
        <v>28510</v>
      </c>
      <c r="M36" s="122">
        <f>SUM(Rehab_4[Amount])</f>
        <v>0</v>
      </c>
      <c r="N36" s="124">
        <f>SUM(Summary_Sheet[[#This Row],[Cutting grass/ neglected weeds]:[Rehabilitation]])</f>
        <v>28510</v>
      </c>
    </row>
    <row r="37" spans="1:14" s="74" customFormat="1" x14ac:dyDescent="0.2">
      <c r="A37" s="92">
        <v>5</v>
      </c>
      <c r="B37" s="139" t="s">
        <v>92</v>
      </c>
      <c r="C37" s="125"/>
      <c r="D37" s="78" t="s">
        <v>75</v>
      </c>
      <c r="E37" s="79" t="s">
        <v>84</v>
      </c>
      <c r="F37" s="83">
        <f>SUM(Grass_5[Amount])</f>
        <v>0</v>
      </c>
      <c r="G37" s="84">
        <f>SUM(Tree_5[Amount])</f>
        <v>0</v>
      </c>
      <c r="H37" s="84">
        <f>SUM(Pest_5[Amount])</f>
        <v>0</v>
      </c>
      <c r="I37" s="84">
        <f>SUM(Garbage_5[Amount])</f>
        <v>0</v>
      </c>
      <c r="J37" s="84">
        <f>SUM(Boarding_5[Amount])</f>
        <v>0</v>
      </c>
      <c r="K37" s="84">
        <f>SUM(Fence_5[Amount])</f>
        <v>0</v>
      </c>
      <c r="L37" s="84">
        <f>SUM(Demolition_5[Amount])</f>
        <v>34810</v>
      </c>
      <c r="M37" s="84">
        <f>SUM(Rehab_5[Amount])</f>
        <v>0</v>
      </c>
      <c r="N37" s="123">
        <f>SUM(Summary_Sheet[[#This Row],[Cutting grass/ neglected weeds]:[Rehabilitation]])</f>
        <v>34810</v>
      </c>
    </row>
    <row r="38" spans="1:14" s="74" customFormat="1" ht="15" x14ac:dyDescent="0.2">
      <c r="A38" s="95">
        <v>6</v>
      </c>
      <c r="B38" s="139" t="s">
        <v>93</v>
      </c>
      <c r="C38" s="127"/>
      <c r="D38" s="80" t="s">
        <v>77</v>
      </c>
      <c r="E38" s="81" t="s">
        <v>84</v>
      </c>
      <c r="F38" s="121">
        <f>SUM(Grass_6[Amount])</f>
        <v>0</v>
      </c>
      <c r="G38" s="122">
        <f>SUM(Tree_6[Amount])</f>
        <v>0</v>
      </c>
      <c r="H38" s="122">
        <f>SUM(Pest_6[Amount])</f>
        <v>0</v>
      </c>
      <c r="I38" s="122">
        <f>SUM(Garbage_6[Amount])</f>
        <v>0</v>
      </c>
      <c r="J38" s="122">
        <f>SUM(Boarding_6[Amount])</f>
        <v>0</v>
      </c>
      <c r="K38" s="122">
        <f>SUM(Fence_6[Amount])</f>
        <v>0</v>
      </c>
      <c r="L38" s="122">
        <f>SUM(Demolition_6[Amount])</f>
        <v>24690</v>
      </c>
      <c r="M38" s="122">
        <f>SUM(Rehab_6[Amount])</f>
        <v>0</v>
      </c>
      <c r="N38" s="124">
        <f>SUM(Summary_Sheet[[#This Row],[Cutting grass/ neglected weeds]:[Rehabilitation]])</f>
        <v>24690</v>
      </c>
    </row>
    <row r="39" spans="1:14" s="74" customFormat="1" x14ac:dyDescent="0.2">
      <c r="A39" s="92">
        <v>7</v>
      </c>
      <c r="B39" s="139" t="s">
        <v>94</v>
      </c>
      <c r="C39" s="126"/>
      <c r="D39" s="78" t="s">
        <v>75</v>
      </c>
      <c r="E39" s="79" t="s">
        <v>84</v>
      </c>
      <c r="F39" s="83">
        <f>SUM(Grass_7[Amount])</f>
        <v>0</v>
      </c>
      <c r="G39" s="84">
        <f>SUM(Tree_7[Amount])</f>
        <v>0</v>
      </c>
      <c r="H39" s="84">
        <f>SUM(Pest_7[Amount])</f>
        <v>0</v>
      </c>
      <c r="I39" s="84">
        <f>SUM(Garbage_7[Amount])</f>
        <v>0</v>
      </c>
      <c r="J39" s="84">
        <f>SUM(Boarding_7[Amount])</f>
        <v>0</v>
      </c>
      <c r="K39" s="84">
        <f>SUM(Fence_7[Amount])</f>
        <v>0</v>
      </c>
      <c r="L39" s="84">
        <f>SUM(Demolition_7[Amount])</f>
        <v>36010</v>
      </c>
      <c r="M39" s="84">
        <f>SUM(Rehab_7[Amount])</f>
        <v>0</v>
      </c>
      <c r="N39" s="123">
        <f>SUM(Summary_Sheet[[#This Row],[Cutting grass/ neglected weeds]:[Rehabilitation]])</f>
        <v>36010</v>
      </c>
    </row>
    <row r="40" spans="1:14" s="74" customFormat="1" ht="15" x14ac:dyDescent="0.2">
      <c r="A40" s="95">
        <v>8</v>
      </c>
      <c r="B40" s="139" t="s">
        <v>95</v>
      </c>
      <c r="C40" s="127"/>
      <c r="D40" s="80" t="s">
        <v>78</v>
      </c>
      <c r="E40" s="81" t="s">
        <v>79</v>
      </c>
      <c r="F40" s="121">
        <f>SUM(Grass_8[Amount])</f>
        <v>0</v>
      </c>
      <c r="G40" s="122">
        <f>SUM(Tree_8[Amount])</f>
        <v>0</v>
      </c>
      <c r="H40" s="122">
        <f>SUM(Pest_8[Amount])</f>
        <v>0</v>
      </c>
      <c r="I40" s="122">
        <f>SUM(Garbage_8[Amount])</f>
        <v>0</v>
      </c>
      <c r="J40" s="122">
        <f>SUM(Boarding_8[Amount])</f>
        <v>0</v>
      </c>
      <c r="K40" s="122">
        <f>SUM(Fence_8[Amount])</f>
        <v>0</v>
      </c>
      <c r="L40" s="122">
        <f>SUM(Demolition_8[Amount])</f>
        <v>16510</v>
      </c>
      <c r="M40" s="122">
        <f>SUM(Rehab_8[Amount])</f>
        <v>0</v>
      </c>
      <c r="N40" s="124">
        <f>SUM(Summary_Sheet[[#This Row],[Cutting grass/ neglected weeds]:[Rehabilitation]])</f>
        <v>16510</v>
      </c>
    </row>
    <row r="41" spans="1:14" s="74" customFormat="1" x14ac:dyDescent="0.2">
      <c r="A41" s="92">
        <v>9</v>
      </c>
      <c r="B41" s="139" t="s">
        <v>96</v>
      </c>
      <c r="C41" s="126"/>
      <c r="D41" s="78" t="s">
        <v>78</v>
      </c>
      <c r="E41" s="79" t="s">
        <v>84</v>
      </c>
      <c r="F41" s="83">
        <f>SUM(Grass_9[Amount])</f>
        <v>0</v>
      </c>
      <c r="G41" s="84">
        <f>SUM(Tree_9[Amount])</f>
        <v>0</v>
      </c>
      <c r="H41" s="84">
        <f>SUM(Pest_9[Amount])</f>
        <v>0</v>
      </c>
      <c r="I41" s="84">
        <f>SUM(Garbage_9[Amount])</f>
        <v>0</v>
      </c>
      <c r="J41" s="84">
        <f>SUM(Boarding_9[Amount])</f>
        <v>0</v>
      </c>
      <c r="K41" s="84">
        <f>SUM(Fence_9[Amount])</f>
        <v>0</v>
      </c>
      <c r="L41" s="84">
        <f>SUM(Demolition_9[Amount])</f>
        <v>24510</v>
      </c>
      <c r="M41" s="84">
        <f>SUM(Rehab_9[Amount])</f>
        <v>0</v>
      </c>
      <c r="N41" s="123">
        <f>SUM(Summary_Sheet[[#This Row],[Cutting grass/ neglected weeds]:[Rehabilitation]])</f>
        <v>24510</v>
      </c>
    </row>
    <row r="42" spans="1:14" s="74" customFormat="1" ht="15" x14ac:dyDescent="0.2">
      <c r="A42" s="95">
        <v>10</v>
      </c>
      <c r="B42" s="139" t="s">
        <v>97</v>
      </c>
      <c r="C42" s="127"/>
      <c r="D42" s="80" t="s">
        <v>76</v>
      </c>
      <c r="E42" s="81" t="s">
        <v>79</v>
      </c>
      <c r="F42" s="121">
        <f>SUM(Grass_10[Amount])</f>
        <v>0</v>
      </c>
      <c r="G42" s="122">
        <f>SUM(Tree_10[Amount])</f>
        <v>0</v>
      </c>
      <c r="H42" s="122">
        <f>SUM(Pest_10[Amount])</f>
        <v>0</v>
      </c>
      <c r="I42" s="122">
        <f>SUM(Garbage_10[Amount])</f>
        <v>0</v>
      </c>
      <c r="J42" s="122">
        <f>SUM(Boarding_10[Amount])</f>
        <v>0</v>
      </c>
      <c r="K42" s="122">
        <f>SUM(Fence_10[Amount])</f>
        <v>0</v>
      </c>
      <c r="L42" s="122">
        <f>SUM(Demolition_10[Amount])</f>
        <v>21210</v>
      </c>
      <c r="M42" s="122">
        <f>SUM(Rehab_10[Amount])</f>
        <v>0</v>
      </c>
      <c r="N42" s="124">
        <f>SUM(Summary_Sheet[[#This Row],[Cutting grass/ neglected weeds]:[Rehabilitation]])</f>
        <v>21210</v>
      </c>
    </row>
    <row r="43" spans="1:14" s="93" customFormat="1" x14ac:dyDescent="0.2">
      <c r="A43" s="92">
        <v>11</v>
      </c>
      <c r="B43" s="139" t="s">
        <v>98</v>
      </c>
      <c r="C43" s="125"/>
      <c r="D43" s="78" t="s">
        <v>76</v>
      </c>
      <c r="E43" s="79" t="s">
        <v>82</v>
      </c>
      <c r="F43" s="83">
        <f>SUM(Grass_11[Amount])</f>
        <v>0</v>
      </c>
      <c r="G43" s="84">
        <f>SUM(Tree_11[Amount])</f>
        <v>0</v>
      </c>
      <c r="H43" s="84">
        <f>SUM(Pest_11[Amount])</f>
        <v>0</v>
      </c>
      <c r="I43" s="84">
        <f>SUM(Garbage_11[Amount])</f>
        <v>0</v>
      </c>
      <c r="J43" s="84">
        <f>SUM(Boarding_11[Amount])</f>
        <v>0</v>
      </c>
      <c r="K43" s="84">
        <f>SUM(Fence_11[Amount])</f>
        <v>0</v>
      </c>
      <c r="L43" s="84">
        <f>SUM(Demolition_11[Amount])</f>
        <v>19210</v>
      </c>
      <c r="M43" s="84">
        <f>SUM(Rehab_11[Amount])</f>
        <v>0</v>
      </c>
      <c r="N43" s="123">
        <f>SUM(Summary_Sheet[[#This Row],[Cutting grass/ neglected weeds]:[Rehabilitation]])</f>
        <v>19210</v>
      </c>
    </row>
    <row r="44" spans="1:14" s="74" customFormat="1" ht="15" x14ac:dyDescent="0.2">
      <c r="A44" s="95">
        <v>12</v>
      </c>
      <c r="B44" s="139" t="s">
        <v>99</v>
      </c>
      <c r="C44" s="127"/>
      <c r="D44" s="80" t="s">
        <v>76</v>
      </c>
      <c r="E44" s="81" t="s">
        <v>108</v>
      </c>
      <c r="F44" s="121">
        <f>SUM(Grass_12[Amount])</f>
        <v>0</v>
      </c>
      <c r="G44" s="122">
        <f>SUM(Tree_12[Amount])</f>
        <v>0</v>
      </c>
      <c r="H44" s="122">
        <f>SUM(Pest_12[Amount])</f>
        <v>0</v>
      </c>
      <c r="I44" s="122">
        <f>SUM(Garbage_12[Amount])</f>
        <v>0</v>
      </c>
      <c r="J44" s="122">
        <f>SUM(Boarding_12[Amount])</f>
        <v>0</v>
      </c>
      <c r="K44" s="122">
        <f>SUM(Fence_12[Amount])</f>
        <v>0</v>
      </c>
      <c r="L44" s="122">
        <f>SUM(Demolition_12[Amount])</f>
        <v>19410</v>
      </c>
      <c r="M44" s="122">
        <f>SUM(Rehab_12[Amount])</f>
        <v>0</v>
      </c>
      <c r="N44" s="124">
        <f>SUM(Summary_Sheet[[#This Row],[Cutting grass/ neglected weeds]:[Rehabilitation]])</f>
        <v>19410</v>
      </c>
    </row>
    <row r="45" spans="1:14" s="74" customFormat="1" x14ac:dyDescent="0.2">
      <c r="A45" s="92">
        <v>13</v>
      </c>
      <c r="B45" s="139" t="s">
        <v>100</v>
      </c>
      <c r="C45" s="125"/>
      <c r="D45" s="78" t="s">
        <v>76</v>
      </c>
      <c r="E45" s="79" t="s">
        <v>79</v>
      </c>
      <c r="F45" s="83">
        <f>SUM(Grass_13[Amount])</f>
        <v>0</v>
      </c>
      <c r="G45" s="84">
        <f>SUM(Tree_13[Amount])</f>
        <v>0</v>
      </c>
      <c r="H45" s="84">
        <f>SUM(Pest_13[Amount])</f>
        <v>0</v>
      </c>
      <c r="I45" s="84">
        <f>SUM(Garbage_13[Amount])</f>
        <v>0</v>
      </c>
      <c r="J45" s="84">
        <f>SUM(Boarding_13[Amount])</f>
        <v>0</v>
      </c>
      <c r="K45" s="84">
        <f>SUM(Fence_13[Amount])</f>
        <v>0</v>
      </c>
      <c r="L45" s="84">
        <f>SUM(Demolition_13[Amount])</f>
        <v>21210</v>
      </c>
      <c r="M45" s="84">
        <f>SUM(Rehab_13[Amount])</f>
        <v>0</v>
      </c>
      <c r="N45" s="123">
        <f>SUM(Summary_Sheet[[#This Row],[Cutting grass/ neglected weeds]:[Rehabilitation]])</f>
        <v>21210</v>
      </c>
    </row>
    <row r="46" spans="1:14" s="74" customFormat="1" ht="15" x14ac:dyDescent="0.2">
      <c r="A46" s="95">
        <v>14</v>
      </c>
      <c r="B46" s="139" t="s">
        <v>101</v>
      </c>
      <c r="C46" s="127"/>
      <c r="D46" s="80" t="s">
        <v>76</v>
      </c>
      <c r="E46" s="81" t="s">
        <v>84</v>
      </c>
      <c r="F46" s="121">
        <f>SUM(Grass_14[Amount])</f>
        <v>0</v>
      </c>
      <c r="G46" s="122">
        <f>SUM(Tree_14[Amount])</f>
        <v>0</v>
      </c>
      <c r="H46" s="122">
        <f>SUM(Pest_14[Amount])</f>
        <v>0</v>
      </c>
      <c r="I46" s="122">
        <f>SUM(Garbage_14[Amount])</f>
        <v>0</v>
      </c>
      <c r="J46" s="122">
        <f>SUM(Boarding_14[Amount])</f>
        <v>0</v>
      </c>
      <c r="K46" s="122">
        <f>SUM(Fence_14[Amount])</f>
        <v>0</v>
      </c>
      <c r="L46" s="122">
        <f>SUM(Demolition_14[Amount])</f>
        <v>17210</v>
      </c>
      <c r="M46" s="122">
        <f>SUM(Rehab_14[Amount])</f>
        <v>0</v>
      </c>
      <c r="N46" s="124">
        <f>SUM(Summary_Sheet[[#This Row],[Cutting grass/ neglected weeds]:[Rehabilitation]])</f>
        <v>17210</v>
      </c>
    </row>
    <row r="47" spans="1:14" s="74" customFormat="1" x14ac:dyDescent="0.2">
      <c r="A47" s="92">
        <v>15</v>
      </c>
      <c r="B47" s="139" t="s">
        <v>102</v>
      </c>
      <c r="C47" s="125"/>
      <c r="D47" s="78" t="s">
        <v>75</v>
      </c>
      <c r="E47" s="79" t="s">
        <v>79</v>
      </c>
      <c r="F47" s="83">
        <f>SUM(Grass_15[Amount])</f>
        <v>0</v>
      </c>
      <c r="G47" s="84">
        <f>SUM(Tree_15[Amount])</f>
        <v>0</v>
      </c>
      <c r="H47" s="84">
        <f>SUM(Pest_15[Amount])</f>
        <v>0</v>
      </c>
      <c r="I47" s="84">
        <f>SUM(Garbage_15[Amount])</f>
        <v>0</v>
      </c>
      <c r="J47" s="84">
        <f>SUM(Boarding_15[Amount])</f>
        <v>0</v>
      </c>
      <c r="K47" s="84">
        <f>SUM(Fence_15[Amount])</f>
        <v>0</v>
      </c>
      <c r="L47" s="84">
        <f>SUM(Demolition_15[Amount])</f>
        <v>21210</v>
      </c>
      <c r="M47" s="84">
        <f>SUM(Rehab_15[Amount])</f>
        <v>0</v>
      </c>
      <c r="N47" s="123">
        <f>SUM(Summary_Sheet[[#This Row],[Cutting grass/ neglected weeds]:[Rehabilitation]])</f>
        <v>21210</v>
      </c>
    </row>
    <row r="48" spans="1:14" s="74" customFormat="1" ht="15" x14ac:dyDescent="0.2">
      <c r="A48" s="95">
        <v>16</v>
      </c>
      <c r="B48" s="139" t="s">
        <v>103</v>
      </c>
      <c r="C48" s="127"/>
      <c r="D48" s="80" t="s">
        <v>76</v>
      </c>
      <c r="E48" s="81" t="s">
        <v>84</v>
      </c>
      <c r="F48" s="121">
        <f>SUM(Grass_16[Amount])</f>
        <v>0</v>
      </c>
      <c r="G48" s="122">
        <f>SUM(Tree_16[Amount])</f>
        <v>0</v>
      </c>
      <c r="H48" s="122">
        <f>SUM(Pest_16[Amount])</f>
        <v>0</v>
      </c>
      <c r="I48" s="122">
        <f>SUM(Garbage_16[Amount])</f>
        <v>0</v>
      </c>
      <c r="J48" s="122">
        <f>SUM(Boarding_16[Amount])</f>
        <v>0</v>
      </c>
      <c r="K48" s="122">
        <f>SUM(Fence_16[Amount])</f>
        <v>0</v>
      </c>
      <c r="L48" s="122">
        <f>SUM(Demolition_16[Amount])</f>
        <v>23210</v>
      </c>
      <c r="M48" s="122">
        <f>SUM(Rehab_16[Amount])</f>
        <v>0</v>
      </c>
      <c r="N48" s="124">
        <f>SUM(Summary_Sheet[[#This Row],[Cutting grass/ neglected weeds]:[Rehabilitation]])</f>
        <v>23210</v>
      </c>
    </row>
    <row r="49" spans="1:14" s="74" customFormat="1" x14ac:dyDescent="0.2">
      <c r="A49" s="92">
        <v>17</v>
      </c>
      <c r="B49" s="139" t="s">
        <v>104</v>
      </c>
      <c r="C49" s="126"/>
      <c r="D49" s="78" t="s">
        <v>76</v>
      </c>
      <c r="E49" s="79" t="s">
        <v>84</v>
      </c>
      <c r="F49" s="83">
        <f>SUM(Grass_17[Amount])</f>
        <v>0</v>
      </c>
      <c r="G49" s="84">
        <f>SUM(Tree_17[Amount])</f>
        <v>0</v>
      </c>
      <c r="H49" s="84">
        <f>SUM(Pest_17[Amount])</f>
        <v>0</v>
      </c>
      <c r="I49" s="84">
        <f>SUM(Garbage_17[Amount])</f>
        <v>0</v>
      </c>
      <c r="J49" s="84">
        <f>SUM(Boarding_17[Amount])</f>
        <v>0</v>
      </c>
      <c r="K49" s="84">
        <f>SUM(Fence_17[Amount])</f>
        <v>0</v>
      </c>
      <c r="L49" s="84">
        <f>SUM(Demolition_17[Amount])</f>
        <v>26410</v>
      </c>
      <c r="M49" s="84">
        <f>SUM(Rehab_17[Amount])</f>
        <v>0</v>
      </c>
      <c r="N49" s="123">
        <f>SUM(Summary_Sheet[[#This Row],[Cutting grass/ neglected weeds]:[Rehabilitation]])</f>
        <v>26410</v>
      </c>
    </row>
    <row r="50" spans="1:14" s="74" customFormat="1" ht="15" x14ac:dyDescent="0.2">
      <c r="A50" s="95">
        <v>18</v>
      </c>
      <c r="B50" s="139" t="s">
        <v>105</v>
      </c>
      <c r="C50" s="127"/>
      <c r="D50" s="80" t="s">
        <v>76</v>
      </c>
      <c r="E50" s="81" t="s">
        <v>109</v>
      </c>
      <c r="F50" s="121">
        <f>SUM(Grass_18[Amount])</f>
        <v>0</v>
      </c>
      <c r="G50" s="122">
        <f>SUM(Tree_18[Amount])</f>
        <v>0</v>
      </c>
      <c r="H50" s="122">
        <f>SUM(Pest_18[Amount])</f>
        <v>0</v>
      </c>
      <c r="I50" s="122">
        <f>SUM(Garbage_18[Amount])</f>
        <v>0</v>
      </c>
      <c r="J50" s="122">
        <f>SUM(Boarding_18[Amount])</f>
        <v>0</v>
      </c>
      <c r="K50" s="122">
        <f>SUM(Fence_18[Amount])</f>
        <v>0</v>
      </c>
      <c r="L50" s="122">
        <f>SUM(Demolition_18[Amount])</f>
        <v>23700</v>
      </c>
      <c r="M50" s="122">
        <f>SUM(Rehab_18[Amount])</f>
        <v>0</v>
      </c>
      <c r="N50" s="124">
        <f>SUM(Summary_Sheet[[#This Row],[Cutting grass/ neglected weeds]:[Rehabilitation]])</f>
        <v>23700</v>
      </c>
    </row>
    <row r="51" spans="1:14" s="74" customFormat="1" x14ac:dyDescent="0.2">
      <c r="A51" s="92">
        <v>19</v>
      </c>
      <c r="B51" s="139" t="s">
        <v>106</v>
      </c>
      <c r="C51" s="126"/>
      <c r="D51" s="78" t="s">
        <v>76</v>
      </c>
      <c r="E51" s="79" t="s">
        <v>84</v>
      </c>
      <c r="F51" s="83">
        <f>SUM(Grass_19[Amount])</f>
        <v>0</v>
      </c>
      <c r="G51" s="84">
        <f>SUM(Tree_19[Amount])</f>
        <v>0</v>
      </c>
      <c r="H51" s="84">
        <f>SUM(Pest_19[Amount])</f>
        <v>0</v>
      </c>
      <c r="I51" s="84">
        <f>SUM(Garbage_19[Amount])</f>
        <v>0</v>
      </c>
      <c r="J51" s="84">
        <f>SUM(Boarding_19[Amount])</f>
        <v>0</v>
      </c>
      <c r="K51" s="84">
        <f>SUM(Fence_19[Amount])</f>
        <v>0</v>
      </c>
      <c r="L51" s="84">
        <f>SUM(Demolition_19[Amount])</f>
        <v>22010</v>
      </c>
      <c r="M51" s="84">
        <f>SUM(Rehab_19[Amount])</f>
        <v>0</v>
      </c>
      <c r="N51" s="123">
        <f>SUM(Summary_Sheet[[#This Row],[Cutting grass/ neglected weeds]:[Rehabilitation]])</f>
        <v>22010</v>
      </c>
    </row>
    <row r="52" spans="1:14" s="74" customFormat="1" ht="15" x14ac:dyDescent="0.2">
      <c r="A52" s="95">
        <v>20</v>
      </c>
      <c r="B52" s="139" t="s">
        <v>110</v>
      </c>
      <c r="C52" s="127"/>
      <c r="D52" s="80" t="s">
        <v>76</v>
      </c>
      <c r="E52" s="81" t="s">
        <v>84</v>
      </c>
      <c r="F52" s="121">
        <f>SUM(Grass_20[Amount])</f>
        <v>0</v>
      </c>
      <c r="G52" s="122">
        <f>SUM(Tree_20[Amount])</f>
        <v>0</v>
      </c>
      <c r="H52" s="122">
        <f>SUM(Pest_20[Amount])</f>
        <v>0</v>
      </c>
      <c r="I52" s="122">
        <f>SUM(Garbage_20[Amount])</f>
        <v>0</v>
      </c>
      <c r="J52" s="122">
        <f>SUM(Boarding_20[Amount])</f>
        <v>0</v>
      </c>
      <c r="K52" s="122">
        <f>SUM(Fence_20[Amount])</f>
        <v>0</v>
      </c>
      <c r="L52" s="122">
        <f>SUM(Demolition_20[Amount])</f>
        <v>67010</v>
      </c>
      <c r="M52" s="122">
        <f>SUM(Rehab_20[Amount])</f>
        <v>0</v>
      </c>
      <c r="N52" s="124">
        <f>SUM(Summary_Sheet[[#This Row],[Cutting grass/ neglected weeds]:[Rehabilitation]])</f>
        <v>67010</v>
      </c>
    </row>
    <row r="53" spans="1:14" x14ac:dyDescent="0.3">
      <c r="A53" s="128">
        <v>21</v>
      </c>
      <c r="B53" s="139" t="s">
        <v>111</v>
      </c>
      <c r="C53" s="126"/>
      <c r="D53" s="78" t="s">
        <v>78</v>
      </c>
      <c r="E53" s="79" t="s">
        <v>79</v>
      </c>
      <c r="F53" s="83">
        <f>SUM(Grass_20[Amount])</f>
        <v>0</v>
      </c>
      <c r="G53" s="84">
        <f>SUM(Tree_21[Amount])</f>
        <v>0</v>
      </c>
      <c r="H53" s="84">
        <f>SUM(Pest_21[Amount])</f>
        <v>0</v>
      </c>
      <c r="I53" s="84">
        <f>SUM(Garbage_21[Amount])</f>
        <v>0</v>
      </c>
      <c r="J53" s="84">
        <f>SUM(Boarding_21[Amount])</f>
        <v>0</v>
      </c>
      <c r="K53" s="84">
        <f>SUM(Fence_21[Amount])</f>
        <v>0</v>
      </c>
      <c r="L53" s="84">
        <f>SUM(Demolition_21[Amount])</f>
        <v>22710</v>
      </c>
      <c r="M53" s="84">
        <f>SUM(Rehab_21[Amount])</f>
        <v>0</v>
      </c>
      <c r="N53" s="123">
        <f>SUM(Summary_Sheet[[#This Row],[Cutting grass/ neglected weeds]:[Rehabilitation]])</f>
        <v>22710</v>
      </c>
    </row>
    <row r="54" spans="1:14" ht="15" x14ac:dyDescent="0.25">
      <c r="A54" s="95">
        <v>22</v>
      </c>
      <c r="B54" s="139" t="s">
        <v>112</v>
      </c>
      <c r="C54" s="127"/>
      <c r="D54" s="80" t="s">
        <v>76</v>
      </c>
      <c r="E54" s="81" t="s">
        <v>84</v>
      </c>
      <c r="F54" s="121">
        <f>SUM(Grass_22[Amount])</f>
        <v>0</v>
      </c>
      <c r="G54" s="122">
        <f>SUM(Tree_22[Amount])</f>
        <v>0</v>
      </c>
      <c r="H54" s="122">
        <f>SUM(Pest_22[Amount])</f>
        <v>0</v>
      </c>
      <c r="I54" s="122">
        <f>SUM(Garbage_22[Amount])</f>
        <v>0</v>
      </c>
      <c r="J54" s="122">
        <f>SUM(Boarding_22[Amount])</f>
        <v>0</v>
      </c>
      <c r="K54" s="122">
        <f>SUM(Fence_22[Amount])</f>
        <v>0</v>
      </c>
      <c r="L54" s="122">
        <f>SUM(Demolition_22[Amount])</f>
        <v>24010</v>
      </c>
      <c r="M54" s="122">
        <f>SUM(Rehab_22[Amount])</f>
        <v>0</v>
      </c>
      <c r="N54" s="124">
        <f>SUM(Summary_Sheet[[#This Row],[Cutting grass/ neglected weeds]:[Rehabilitation]])</f>
        <v>24010</v>
      </c>
    </row>
    <row r="55" spans="1:14" x14ac:dyDescent="0.3">
      <c r="A55" s="128">
        <v>23</v>
      </c>
      <c r="B55" s="139" t="s">
        <v>113</v>
      </c>
      <c r="C55" s="126"/>
      <c r="D55" s="78" t="s">
        <v>78</v>
      </c>
      <c r="E55" s="79" t="s">
        <v>191</v>
      </c>
      <c r="F55" s="83">
        <f>SUM(Grass_23[Amount])</f>
        <v>0</v>
      </c>
      <c r="G55" s="84">
        <f>SUM(Tree_23[Amount])</f>
        <v>0</v>
      </c>
      <c r="H55" s="84">
        <f>SUM(Pest_23[Amount])</f>
        <v>0</v>
      </c>
      <c r="I55" s="84">
        <f>SUM(Garbage_23[Amount])</f>
        <v>0</v>
      </c>
      <c r="J55" s="84">
        <f>SUM(Boarding_23[Amount])</f>
        <v>0</v>
      </c>
      <c r="K55" s="84">
        <f>SUM(Fence_23[Amount])</f>
        <v>0</v>
      </c>
      <c r="L55" s="84">
        <f>SUM(Demolition_23[Amount])</f>
        <v>24610</v>
      </c>
      <c r="M55" s="84">
        <f>SUM(Rehab_23[Amount])</f>
        <v>0</v>
      </c>
      <c r="N55" s="123">
        <f>SUM(Summary_Sheet[[#This Row],[Cutting grass/ neglected weeds]:[Rehabilitation]])</f>
        <v>24610</v>
      </c>
    </row>
    <row r="56" spans="1:14" x14ac:dyDescent="0.3">
      <c r="A56" s="95">
        <v>24</v>
      </c>
      <c r="B56" s="139" t="s">
        <v>114</v>
      </c>
      <c r="C56" s="127"/>
      <c r="D56" s="80" t="s">
        <v>76</v>
      </c>
      <c r="E56" s="81" t="s">
        <v>83</v>
      </c>
      <c r="F56" s="121">
        <f>SUM(Grass_24[Amount])</f>
        <v>0</v>
      </c>
      <c r="G56" s="122">
        <f>SUM(Tree_24[Amount])</f>
        <v>0</v>
      </c>
      <c r="H56" s="122">
        <f>SUM(Pest_24[Amount])</f>
        <v>0</v>
      </c>
      <c r="I56" s="122">
        <f>SUM(Garbage_24[Amount])</f>
        <v>0</v>
      </c>
      <c r="J56" s="122">
        <f>SUM(Boarding_24[Amount])</f>
        <v>0</v>
      </c>
      <c r="K56" s="122">
        <f>SUM(Fence_24[Amount])</f>
        <v>0</v>
      </c>
      <c r="L56" s="122">
        <f>SUM(Demolition_24[Amount])</f>
        <v>23510</v>
      </c>
      <c r="M56" s="122">
        <f>SUM(Rehab_24[Amount])</f>
        <v>0</v>
      </c>
      <c r="N56" s="124">
        <f>SUM(Summary_Sheet[[#This Row],[Cutting grass/ neglected weeds]:[Rehabilitation]])</f>
        <v>23510</v>
      </c>
    </row>
    <row r="57" spans="1:14" x14ac:dyDescent="0.3">
      <c r="A57" s="128">
        <v>25</v>
      </c>
      <c r="B57" s="139" t="s">
        <v>115</v>
      </c>
      <c r="C57" s="126"/>
      <c r="D57" s="78" t="s">
        <v>75</v>
      </c>
      <c r="E57" s="79" t="s">
        <v>83</v>
      </c>
      <c r="F57" s="83">
        <f>SUM(Grass_25[Amount])</f>
        <v>0</v>
      </c>
      <c r="G57" s="84">
        <f>SUM(Tree_25[Amount])</f>
        <v>0</v>
      </c>
      <c r="H57" s="84">
        <f>SUM(Pest_25[Amount])</f>
        <v>0</v>
      </c>
      <c r="I57" s="84">
        <f>SUM(Garbage_25[Amount])</f>
        <v>0</v>
      </c>
      <c r="J57" s="84">
        <f>SUM(Boarding_25[Amount])</f>
        <v>0</v>
      </c>
      <c r="K57" s="84">
        <f>SUM(Fence_25[Amount])</f>
        <v>0</v>
      </c>
      <c r="L57" s="84">
        <f>SUM(Demolition_25[Amount])</f>
        <v>21510</v>
      </c>
      <c r="M57" s="84">
        <f>SUM(Rehab_25[Amount])</f>
        <v>0</v>
      </c>
      <c r="N57" s="123">
        <f>SUM(Summary_Sheet[[#This Row],[Cutting grass/ neglected weeds]:[Rehabilitation]])</f>
        <v>21510</v>
      </c>
    </row>
    <row r="58" spans="1:14" x14ac:dyDescent="0.3">
      <c r="A58" s="95">
        <v>26</v>
      </c>
      <c r="B58" s="139" t="s">
        <v>116</v>
      </c>
      <c r="C58" s="127"/>
      <c r="D58" s="80" t="s">
        <v>78</v>
      </c>
      <c r="E58" s="81" t="s">
        <v>85</v>
      </c>
      <c r="F58" s="121">
        <f>SUM(Grass_26[Amount])</f>
        <v>0</v>
      </c>
      <c r="G58" s="122">
        <f>SUM(Tree_26[Amount])</f>
        <v>0</v>
      </c>
      <c r="H58" s="122">
        <f>SUM(Pest_26[Amount])</f>
        <v>0</v>
      </c>
      <c r="I58" s="122">
        <f>SUM(Garbage_26[Amount])</f>
        <v>0</v>
      </c>
      <c r="J58" s="122">
        <f>SUM(Boarding_26[Amount])</f>
        <v>0</v>
      </c>
      <c r="K58" s="122">
        <f>SUM(Fence_26[Amount])</f>
        <v>0</v>
      </c>
      <c r="L58" s="122">
        <f>SUM(Demolition_26[Amount])</f>
        <v>16010</v>
      </c>
      <c r="M58" s="122">
        <f>SUM(Rehab_26[Amount])</f>
        <v>0</v>
      </c>
      <c r="N58" s="124">
        <f>SUM(Summary_Sheet[[#This Row],[Cutting grass/ neglected weeds]:[Rehabilitation]])</f>
        <v>16010</v>
      </c>
    </row>
    <row r="59" spans="1:14" x14ac:dyDescent="0.3">
      <c r="A59" s="128">
        <v>27</v>
      </c>
      <c r="B59" s="139" t="s">
        <v>117</v>
      </c>
      <c r="C59" s="126"/>
      <c r="D59" s="78" t="s">
        <v>76</v>
      </c>
      <c r="E59" s="79" t="s">
        <v>86</v>
      </c>
      <c r="F59" s="83">
        <f>SUM(Grass_27[Amount])</f>
        <v>0</v>
      </c>
      <c r="G59" s="84">
        <f>SUM(Tree_27[Amount])</f>
        <v>0</v>
      </c>
      <c r="H59" s="84">
        <f>SUM(Pest_27[Amount])</f>
        <v>0</v>
      </c>
      <c r="I59" s="84">
        <f>SUM(Garbage_27[Amount])</f>
        <v>0</v>
      </c>
      <c r="J59" s="84">
        <f>SUM(Boarding_27[Amount])</f>
        <v>0</v>
      </c>
      <c r="K59" s="84">
        <f>SUM(Fence_27[Amount])</f>
        <v>0</v>
      </c>
      <c r="L59" s="84">
        <f>SUM(Demolition_27[Amount])</f>
        <v>22200</v>
      </c>
      <c r="M59" s="84">
        <f>SUM(Rehab_27[Amount])</f>
        <v>0</v>
      </c>
      <c r="N59" s="123">
        <f>SUM(Summary_Sheet[[#This Row],[Cutting grass/ neglected weeds]:[Rehabilitation]])</f>
        <v>22200</v>
      </c>
    </row>
    <row r="60" spans="1:14" x14ac:dyDescent="0.3">
      <c r="A60" s="95">
        <v>28</v>
      </c>
      <c r="B60" s="139" t="s">
        <v>118</v>
      </c>
      <c r="C60" s="127"/>
      <c r="D60" s="80" t="s">
        <v>76</v>
      </c>
      <c r="E60" s="81" t="s">
        <v>86</v>
      </c>
      <c r="F60" s="121">
        <f>SUM(Grass_28[Amount])</f>
        <v>0</v>
      </c>
      <c r="G60" s="122">
        <f>SUM(Tree_28[Amount])</f>
        <v>0</v>
      </c>
      <c r="H60" s="122">
        <f>SUM(Pest_28[Amount])</f>
        <v>0</v>
      </c>
      <c r="I60" s="122">
        <f>SUM(Garbage_28[Amount])</f>
        <v>0</v>
      </c>
      <c r="J60" s="122">
        <f>SUM(Boarding_28[Amount])</f>
        <v>0</v>
      </c>
      <c r="K60" s="122">
        <f>SUM(Fence_28[Amount])</f>
        <v>0</v>
      </c>
      <c r="L60" s="122">
        <f>SUM(Demolition_28[Amount])</f>
        <v>89320</v>
      </c>
      <c r="M60" s="122">
        <f>SUM(Rehab_28[Amount])</f>
        <v>0</v>
      </c>
      <c r="N60" s="124">
        <f>SUM(Summary_Sheet[[#This Row],[Cutting grass/ neglected weeds]:[Rehabilitation]])</f>
        <v>89320</v>
      </c>
    </row>
    <row r="61" spans="1:14" x14ac:dyDescent="0.3">
      <c r="A61" s="128">
        <v>29</v>
      </c>
      <c r="B61" s="139" t="s">
        <v>119</v>
      </c>
      <c r="C61" s="126"/>
      <c r="D61" s="78" t="s">
        <v>75</v>
      </c>
      <c r="E61" s="79" t="s">
        <v>86</v>
      </c>
      <c r="F61" s="83">
        <f>SUM(Grass_29[Amount])</f>
        <v>0</v>
      </c>
      <c r="G61" s="84">
        <f>SUM(Tree_29[Amount])</f>
        <v>0</v>
      </c>
      <c r="H61" s="84">
        <f>SUM(Pest_29[Amount])</f>
        <v>0</v>
      </c>
      <c r="I61" s="84">
        <f>SUM(Garbage_29[Amount])</f>
        <v>0</v>
      </c>
      <c r="J61" s="84">
        <f>SUM(Boarding_29[Amount])</f>
        <v>0</v>
      </c>
      <c r="K61" s="84">
        <f>SUM(Fence_29[Amount])</f>
        <v>0</v>
      </c>
      <c r="L61" s="84">
        <f>SUM(Demolition_29[Amount])</f>
        <v>22410</v>
      </c>
      <c r="M61" s="84">
        <f>SUM(Rehab_29[Amount])</f>
        <v>0</v>
      </c>
      <c r="N61" s="123">
        <f>SUM(Summary_Sheet[[#This Row],[Cutting grass/ neglected weeds]:[Rehabilitation]])</f>
        <v>22410</v>
      </c>
    </row>
    <row r="62" spans="1:14" x14ac:dyDescent="0.3">
      <c r="A62" s="95">
        <v>30</v>
      </c>
      <c r="B62" s="139" t="s">
        <v>120</v>
      </c>
      <c r="C62" s="127"/>
      <c r="D62" s="80" t="s">
        <v>76</v>
      </c>
      <c r="E62" s="81" t="s">
        <v>86</v>
      </c>
      <c r="F62" s="121">
        <f>SUM(Grass_30[Amount])</f>
        <v>0</v>
      </c>
      <c r="G62" s="122">
        <f>SUM(Tree_30[Amount])</f>
        <v>0</v>
      </c>
      <c r="H62" s="122">
        <f>SUM(Pest_30[Amount])</f>
        <v>0</v>
      </c>
      <c r="I62" s="122">
        <f>SUM(Garbage_30[Amount])</f>
        <v>0</v>
      </c>
      <c r="J62" s="122">
        <f>SUM(Boarding_30[Amount])</f>
        <v>0</v>
      </c>
      <c r="K62" s="122">
        <f>SUM(Fence_30[Amount])</f>
        <v>0</v>
      </c>
      <c r="L62" s="122">
        <f>SUM(Demolition_30[Amount])</f>
        <v>19210</v>
      </c>
      <c r="M62" s="122">
        <f>SUM(Rehab_30[Amount])</f>
        <v>0</v>
      </c>
      <c r="N62" s="124">
        <f>SUM(Summary_Sheet[[#This Row],[Cutting grass/ neglected weeds]:[Rehabilitation]])</f>
        <v>19210</v>
      </c>
    </row>
    <row r="63" spans="1:14" x14ac:dyDescent="0.3">
      <c r="A63" s="128">
        <v>31</v>
      </c>
      <c r="B63" s="139" t="s">
        <v>121</v>
      </c>
      <c r="C63" s="126"/>
      <c r="D63" s="78" t="s">
        <v>76</v>
      </c>
      <c r="E63" s="79" t="s">
        <v>83</v>
      </c>
      <c r="F63" s="83">
        <f>SUM(Grass_31[Amount])</f>
        <v>0</v>
      </c>
      <c r="G63" s="84">
        <f>SUM(Tree_31[Amount])</f>
        <v>0</v>
      </c>
      <c r="H63" s="84">
        <f>SUM(Pest_31[Amount])</f>
        <v>0</v>
      </c>
      <c r="I63" s="84">
        <f>SUM(Garbage_31[Amount])</f>
        <v>0</v>
      </c>
      <c r="J63" s="84">
        <f>SUM(Boarding_31[Amount])</f>
        <v>0</v>
      </c>
      <c r="K63" s="84">
        <f>SUM(Fence_31[Amount])</f>
        <v>0</v>
      </c>
      <c r="L63" s="84">
        <f>SUM(Demolition_31[Amount])</f>
        <v>41810</v>
      </c>
      <c r="M63" s="84">
        <f>SUM(Rehab_31[Amount])</f>
        <v>0</v>
      </c>
      <c r="N63" s="123">
        <f>SUM(Summary_Sheet[[#This Row],[Cutting grass/ neglected weeds]:[Rehabilitation]])</f>
        <v>41810</v>
      </c>
    </row>
    <row r="64" spans="1:14" x14ac:dyDescent="0.3">
      <c r="A64" s="95">
        <v>32</v>
      </c>
      <c r="B64" s="139" t="s">
        <v>122</v>
      </c>
      <c r="C64" s="127"/>
      <c r="D64" s="80" t="s">
        <v>78</v>
      </c>
      <c r="E64" s="81" t="s">
        <v>79</v>
      </c>
      <c r="F64" s="121">
        <f>SUM(Grass_32[Amount])</f>
        <v>0</v>
      </c>
      <c r="G64" s="122">
        <f>SUM(Tree_32[Amount])</f>
        <v>0</v>
      </c>
      <c r="H64" s="122">
        <f>SUM(Pest_32[Amount])</f>
        <v>0</v>
      </c>
      <c r="I64" s="122">
        <f>SUM(Garbage_32[Amount])</f>
        <v>0</v>
      </c>
      <c r="J64" s="122">
        <f>SUM(Boarding_32[Amount])</f>
        <v>0</v>
      </c>
      <c r="K64" s="122">
        <f>SUM(Fence_32[Amount])</f>
        <v>0</v>
      </c>
      <c r="L64" s="122">
        <f>SUM(Demolition_32[Amount])</f>
        <v>21210</v>
      </c>
      <c r="M64" s="122">
        <f>SUM(Rehab_32[Amount])</f>
        <v>0</v>
      </c>
      <c r="N64" s="124">
        <f>SUM(Summary_Sheet[[#This Row],[Cutting grass/ neglected weeds]:[Rehabilitation]])</f>
        <v>21210</v>
      </c>
    </row>
    <row r="65" spans="1:14" x14ac:dyDescent="0.3">
      <c r="A65" s="128">
        <v>33</v>
      </c>
      <c r="B65" s="139" t="s">
        <v>123</v>
      </c>
      <c r="C65" s="126"/>
      <c r="D65" s="78" t="s">
        <v>75</v>
      </c>
      <c r="E65" s="79" t="s">
        <v>86</v>
      </c>
      <c r="F65" s="83">
        <f>SUM(Grass_33[Amount])</f>
        <v>0</v>
      </c>
      <c r="G65" s="84">
        <f>SUM(Tree_33[Amount])</f>
        <v>0</v>
      </c>
      <c r="H65" s="84">
        <f>SUM(Pest_33[Amount])</f>
        <v>0</v>
      </c>
      <c r="I65" s="84">
        <f>SUM(Garbage_33[Amount])</f>
        <v>0</v>
      </c>
      <c r="J65" s="84">
        <f>SUM(Boarding_33[Amount])</f>
        <v>0</v>
      </c>
      <c r="K65" s="84">
        <f>SUM(Fence_33[Amount])</f>
        <v>0</v>
      </c>
      <c r="L65" s="84">
        <f>SUM(Demolition_33[Amount])</f>
        <v>0</v>
      </c>
      <c r="M65" s="84">
        <f>SUM(Rehab_33[Amount])</f>
        <v>34610</v>
      </c>
      <c r="N65" s="123">
        <f>SUM(Summary_Sheet[[#This Row],[Cutting grass/ neglected weeds]:[Rehabilitation]])</f>
        <v>34610</v>
      </c>
    </row>
    <row r="66" spans="1:14" x14ac:dyDescent="0.3">
      <c r="A66" s="95">
        <v>34</v>
      </c>
      <c r="B66" s="139" t="s">
        <v>124</v>
      </c>
      <c r="C66" s="127"/>
      <c r="D66" s="80" t="s">
        <v>77</v>
      </c>
      <c r="E66" s="81" t="s">
        <v>83</v>
      </c>
      <c r="F66" s="121">
        <f>SUM(Grass_34[Amount])</f>
        <v>0</v>
      </c>
      <c r="G66" s="122">
        <f>SUM(Tree_34[Amount])</f>
        <v>0</v>
      </c>
      <c r="H66" s="122">
        <f>SUM(Pest_34[Amount])</f>
        <v>0</v>
      </c>
      <c r="I66" s="122">
        <f>SUM(Garbage_34[Amount])</f>
        <v>0</v>
      </c>
      <c r="J66" s="122">
        <f>SUM(Boarding_34[Amount])</f>
        <v>0</v>
      </c>
      <c r="K66" s="122">
        <f>SUM(Fence_34[Amount])</f>
        <v>0</v>
      </c>
      <c r="L66" s="122">
        <f>SUM(Demolition_34[Amount])</f>
        <v>58510</v>
      </c>
      <c r="M66" s="122">
        <f>SUM(Rehab_34[Amount])</f>
        <v>0</v>
      </c>
      <c r="N66" s="124">
        <f>SUM(Summary_Sheet[[#This Row],[Cutting grass/ neglected weeds]:[Rehabilitation]])</f>
        <v>58510</v>
      </c>
    </row>
    <row r="67" spans="1:14" x14ac:dyDescent="0.3">
      <c r="A67" s="128">
        <v>35</v>
      </c>
      <c r="B67" s="139" t="s">
        <v>125</v>
      </c>
      <c r="C67" s="126"/>
      <c r="D67" s="78" t="s">
        <v>78</v>
      </c>
      <c r="E67" s="79" t="s">
        <v>107</v>
      </c>
      <c r="F67" s="83">
        <f>SUM(Grass_35[Amount])</f>
        <v>0</v>
      </c>
      <c r="G67" s="84">
        <f>SUM(Tree_35[Amount])</f>
        <v>0</v>
      </c>
      <c r="H67" s="84">
        <f>SUM(Pest_35[Amount])</f>
        <v>0</v>
      </c>
      <c r="I67" s="84">
        <f>SUM(Garbage_35[Amount])</f>
        <v>0</v>
      </c>
      <c r="J67" s="84">
        <f>SUM(Boarding_35[Amount])</f>
        <v>0</v>
      </c>
      <c r="K67" s="84">
        <f>SUM(Fence_35[Amount])</f>
        <v>0</v>
      </c>
      <c r="L67" s="84">
        <f>SUM(Demolition_35[Amount])</f>
        <v>19810</v>
      </c>
      <c r="M67" s="84">
        <f>SUM(Rehab_35[Amount])</f>
        <v>0</v>
      </c>
      <c r="N67" s="123">
        <f>SUM(Summary_Sheet[[#This Row],[Cutting grass/ neglected weeds]:[Rehabilitation]])</f>
        <v>19810</v>
      </c>
    </row>
    <row r="68" spans="1:14" x14ac:dyDescent="0.3">
      <c r="A68" s="95">
        <v>36</v>
      </c>
      <c r="B68" s="139" t="s">
        <v>126</v>
      </c>
      <c r="C68" s="127"/>
      <c r="D68" s="80" t="s">
        <v>76</v>
      </c>
      <c r="E68" s="81" t="s">
        <v>83</v>
      </c>
      <c r="F68" s="121">
        <f>SUM(Grass_36[Amount])</f>
        <v>0</v>
      </c>
      <c r="G68" s="122">
        <f>SUM(Tree_36[Amount])</f>
        <v>0</v>
      </c>
      <c r="H68" s="122">
        <f>SUM(Pest_36[Amount])</f>
        <v>0</v>
      </c>
      <c r="I68" s="122">
        <f>SUM(Garbage_36[Amount])</f>
        <v>0</v>
      </c>
      <c r="J68" s="122">
        <f>SUM(Boarding_36[Amount])</f>
        <v>0</v>
      </c>
      <c r="K68" s="122">
        <f>SUM(Fence_36[Amount])</f>
        <v>0</v>
      </c>
      <c r="L68" s="122">
        <f>SUM(Demolition_36[Amount])</f>
        <v>17010</v>
      </c>
      <c r="M68" s="122">
        <f>SUM(Rehab_36[Amount])</f>
        <v>0</v>
      </c>
      <c r="N68" s="124">
        <f>SUM(Summary_Sheet[[#This Row],[Cutting grass/ neglected weeds]:[Rehabilitation]])</f>
        <v>17010</v>
      </c>
    </row>
    <row r="69" spans="1:14" x14ac:dyDescent="0.3">
      <c r="A69" s="128">
        <v>37</v>
      </c>
      <c r="B69" s="139" t="s">
        <v>127</v>
      </c>
      <c r="C69" s="126"/>
      <c r="D69" s="78" t="s">
        <v>78</v>
      </c>
      <c r="E69" s="79" t="s">
        <v>83</v>
      </c>
      <c r="F69" s="83">
        <f>SUM(Grass_37[Amount])</f>
        <v>0</v>
      </c>
      <c r="G69" s="84">
        <f>SUM(Tree_37[Amount])</f>
        <v>0</v>
      </c>
      <c r="H69" s="84">
        <f>SUM(Pest_37[Amount])</f>
        <v>0</v>
      </c>
      <c r="I69" s="84">
        <f>SUM(Garbage_37[Amount])</f>
        <v>0</v>
      </c>
      <c r="J69" s="84">
        <f>SUM(Boarding_37[Amount])</f>
        <v>0</v>
      </c>
      <c r="K69" s="84">
        <f>SUM(Fence_37[Amount])</f>
        <v>0</v>
      </c>
      <c r="L69" s="84">
        <f>SUM(Demolition_37[Amount])</f>
        <v>17010</v>
      </c>
      <c r="M69" s="84">
        <f>SUM(Rehab_37[Amount])</f>
        <v>0</v>
      </c>
      <c r="N69" s="123">
        <f>SUM(Summary_Sheet[[#This Row],[Cutting grass/ neglected weeds]:[Rehabilitation]])</f>
        <v>17010</v>
      </c>
    </row>
    <row r="70" spans="1:14" x14ac:dyDescent="0.3">
      <c r="A70" s="95">
        <v>38</v>
      </c>
      <c r="B70" s="139" t="s">
        <v>128</v>
      </c>
      <c r="C70" s="127"/>
      <c r="D70" s="80" t="s">
        <v>78</v>
      </c>
      <c r="E70" s="81" t="s">
        <v>107</v>
      </c>
      <c r="F70" s="121">
        <f>SUM(Grass_38[Amount])</f>
        <v>0</v>
      </c>
      <c r="G70" s="122">
        <f>SUM(Tree_38[Amount])</f>
        <v>0</v>
      </c>
      <c r="H70" s="122">
        <f>SUM(Pest_38[Amount])</f>
        <v>0</v>
      </c>
      <c r="I70" s="122">
        <f>SUM(Garbage_38[Amount])</f>
        <v>0</v>
      </c>
      <c r="J70" s="122">
        <f>SUM(Boarding_38[Amount])</f>
        <v>0</v>
      </c>
      <c r="K70" s="122">
        <f>SUM(Fence_38[Amount])</f>
        <v>0</v>
      </c>
      <c r="L70" s="122">
        <f>SUM(Demolition_38[Amount])</f>
        <v>21810</v>
      </c>
      <c r="M70" s="122">
        <f>SUM(Rehab_38[Amount])</f>
        <v>0</v>
      </c>
      <c r="N70" s="124">
        <f>SUM(Summary_Sheet[[#This Row],[Cutting grass/ neglected weeds]:[Rehabilitation]])</f>
        <v>21810</v>
      </c>
    </row>
    <row r="71" spans="1:14" x14ac:dyDescent="0.3">
      <c r="A71" s="128">
        <v>39</v>
      </c>
      <c r="B71" s="139" t="s">
        <v>129</v>
      </c>
      <c r="C71" s="126"/>
      <c r="D71" s="78" t="s">
        <v>76</v>
      </c>
      <c r="E71" s="79" t="s">
        <v>83</v>
      </c>
      <c r="F71" s="83">
        <f>SUM(Grass_39[Amount])</f>
        <v>0</v>
      </c>
      <c r="G71" s="84">
        <f>SUM(Tree_39[Amount])</f>
        <v>0</v>
      </c>
      <c r="H71" s="84">
        <f>SUM(Pest_39[Amount])</f>
        <v>0</v>
      </c>
      <c r="I71" s="84">
        <f>SUM(Garbage_39[Amount])</f>
        <v>0</v>
      </c>
      <c r="J71" s="84">
        <f>SUM(Boarding_39[Amount])</f>
        <v>0</v>
      </c>
      <c r="K71" s="84">
        <f>SUM(Fence_39[Amount])</f>
        <v>0</v>
      </c>
      <c r="L71" s="84">
        <f>SUM(Demolition_39[Amount])</f>
        <v>18410</v>
      </c>
      <c r="M71" s="84">
        <f>SUM(Rehab_39[Amount])</f>
        <v>0</v>
      </c>
      <c r="N71" s="123">
        <f>SUM(Summary_Sheet[[#This Row],[Cutting grass/ neglected weeds]:[Rehabilitation]])</f>
        <v>18410</v>
      </c>
    </row>
    <row r="72" spans="1:14" x14ac:dyDescent="0.3">
      <c r="A72" s="95">
        <v>40</v>
      </c>
      <c r="B72" s="139" t="s">
        <v>130</v>
      </c>
      <c r="C72" s="127"/>
      <c r="D72" s="80" t="s">
        <v>76</v>
      </c>
      <c r="E72" s="81" t="s">
        <v>85</v>
      </c>
      <c r="F72" s="121">
        <f>SUM(Grass_40[Amount])</f>
        <v>0</v>
      </c>
      <c r="G72" s="122">
        <f>SUM(Tree_40[Amount])</f>
        <v>0</v>
      </c>
      <c r="H72" s="122">
        <f>SUM(Pest_40[Amount])</f>
        <v>0</v>
      </c>
      <c r="I72" s="122">
        <f>SUM(Garbage_40[Amount])</f>
        <v>0</v>
      </c>
      <c r="J72" s="122">
        <f>SUM(Boarding_40[Amount])</f>
        <v>0</v>
      </c>
      <c r="K72" s="122">
        <f>SUM(Fence_40[Amount])</f>
        <v>0</v>
      </c>
      <c r="L72" s="122">
        <f>SUM(Demolition_40[Amount])</f>
        <v>30510</v>
      </c>
      <c r="M72" s="122">
        <f>SUM(Rehab_40[Amount])</f>
        <v>0</v>
      </c>
      <c r="N72" s="124">
        <f>SUM(Summary_Sheet[[#This Row],[Cutting grass/ neglected weeds]:[Rehabilitation]])</f>
        <v>30510</v>
      </c>
    </row>
    <row r="73" spans="1:14" x14ac:dyDescent="0.3">
      <c r="A73" s="128">
        <v>41</v>
      </c>
      <c r="B73" s="139" t="s">
        <v>131</v>
      </c>
      <c r="C73" s="125"/>
      <c r="D73" s="78" t="s">
        <v>75</v>
      </c>
      <c r="E73" s="79" t="s">
        <v>83</v>
      </c>
      <c r="F73" s="83">
        <f>SUM(Grass_41[Amount])</f>
        <v>0</v>
      </c>
      <c r="G73" s="84">
        <f>SUM(Tree_41[Amount])</f>
        <v>0</v>
      </c>
      <c r="H73" s="84">
        <f>SUM(Pest_41[Amount])</f>
        <v>0</v>
      </c>
      <c r="I73" s="84">
        <f>SUM(Garbage_41[Amount])</f>
        <v>0</v>
      </c>
      <c r="J73" s="84">
        <f>SUM(Boarding_41[Amount])</f>
        <v>0</v>
      </c>
      <c r="K73" s="84">
        <f>SUM(Fence_41[Amount])</f>
        <v>0</v>
      </c>
      <c r="L73" s="84">
        <f>SUM(Demolition_41[Amount])</f>
        <v>18210</v>
      </c>
      <c r="M73" s="84">
        <f>SUM(Rehab_41[Amount])</f>
        <v>0</v>
      </c>
      <c r="N73" s="123">
        <f>SUM(Summary_Sheet[[#This Row],[Cutting grass/ neglected weeds]:[Rehabilitation]])</f>
        <v>18210</v>
      </c>
    </row>
    <row r="74" spans="1:14" x14ac:dyDescent="0.3">
      <c r="A74" s="95">
        <v>42</v>
      </c>
      <c r="B74" s="139" t="s">
        <v>132</v>
      </c>
      <c r="C74" s="127"/>
      <c r="D74" s="80" t="s">
        <v>78</v>
      </c>
      <c r="E74" s="81" t="s">
        <v>83</v>
      </c>
      <c r="F74" s="121">
        <f>SUM(Grass_42[Amount])</f>
        <v>0</v>
      </c>
      <c r="G74" s="122">
        <f>SUM(Tree_42[Amount])</f>
        <v>0</v>
      </c>
      <c r="H74" s="122">
        <f>SUM(Pest_42[Amount])</f>
        <v>0</v>
      </c>
      <c r="I74" s="122">
        <f>SUM(Garbage_42[Amount])</f>
        <v>0</v>
      </c>
      <c r="J74" s="122">
        <f>SUM(Boarding_42[Amount])</f>
        <v>0</v>
      </c>
      <c r="K74" s="122">
        <f>SUM(Fence_42[Amount])</f>
        <v>0</v>
      </c>
      <c r="L74" s="122">
        <f>SUM(Demolition_42[Amount])</f>
        <v>19510</v>
      </c>
      <c r="M74" s="122">
        <f>SUM(Rehab_42[Amount])</f>
        <v>0</v>
      </c>
      <c r="N74" s="124">
        <f>SUM(Summary_Sheet[[#This Row],[Cutting grass/ neglected weeds]:[Rehabilitation]])</f>
        <v>19510</v>
      </c>
    </row>
    <row r="75" spans="1:14" x14ac:dyDescent="0.3">
      <c r="A75" s="128">
        <v>43</v>
      </c>
      <c r="B75" s="139" t="s">
        <v>133</v>
      </c>
      <c r="C75" s="125"/>
      <c r="D75" s="78" t="s">
        <v>77</v>
      </c>
      <c r="E75" s="79" t="s">
        <v>83</v>
      </c>
      <c r="F75" s="83">
        <f>SUM(Grass_43[Amount])</f>
        <v>0</v>
      </c>
      <c r="G75" s="84">
        <f>SUM(Tree_43[Amount])</f>
        <v>0</v>
      </c>
      <c r="H75" s="84">
        <f>SUM(Pest_43[Amount])</f>
        <v>0</v>
      </c>
      <c r="I75" s="84">
        <f>SUM(Garbage_43[Amount])</f>
        <v>0</v>
      </c>
      <c r="J75" s="84">
        <f>SUM(Boarding_43[Amount])</f>
        <v>0</v>
      </c>
      <c r="K75" s="84">
        <f>SUM(Fence_43[Amount])</f>
        <v>0</v>
      </c>
      <c r="L75" s="84">
        <f>SUM(Demolition_43[Amount])</f>
        <v>15110</v>
      </c>
      <c r="M75" s="84">
        <f>SUM(Rehab_43[Amount])</f>
        <v>0</v>
      </c>
      <c r="N75" s="123">
        <f>SUM(Summary_Sheet[[#This Row],[Cutting grass/ neglected weeds]:[Rehabilitation]])</f>
        <v>15110</v>
      </c>
    </row>
    <row r="76" spans="1:14" x14ac:dyDescent="0.3">
      <c r="A76" s="95">
        <v>44</v>
      </c>
      <c r="B76" s="139" t="s">
        <v>134</v>
      </c>
      <c r="C76" s="127"/>
      <c r="D76" s="80" t="s">
        <v>76</v>
      </c>
      <c r="E76" s="81" t="s">
        <v>84</v>
      </c>
      <c r="F76" s="121">
        <f>SUM(Grass_44[Amount])</f>
        <v>0</v>
      </c>
      <c r="G76" s="122">
        <f>SUM(Tree_44[Amount])</f>
        <v>0</v>
      </c>
      <c r="H76" s="122">
        <f>SUM(Pest_44[Amount])</f>
        <v>0</v>
      </c>
      <c r="I76" s="122">
        <f>SUM(Garbage_44[Amount])</f>
        <v>0</v>
      </c>
      <c r="J76" s="122">
        <f>SUM(Boarding_44[Amount])</f>
        <v>0</v>
      </c>
      <c r="K76" s="122">
        <f>SUM(Fence_44[Amount])</f>
        <v>0</v>
      </c>
      <c r="L76" s="122">
        <f>SUM(Demolition_44[Amount])</f>
        <v>15510</v>
      </c>
      <c r="M76" s="122">
        <f>SUM(Rehab_44[Amount])</f>
        <v>0</v>
      </c>
      <c r="N76" s="124">
        <f>SUM(Summary_Sheet[[#This Row],[Cutting grass/ neglected weeds]:[Rehabilitation]])</f>
        <v>15510</v>
      </c>
    </row>
    <row r="77" spans="1:14" x14ac:dyDescent="0.3">
      <c r="A77" s="128">
        <v>45</v>
      </c>
      <c r="B77" s="139" t="s">
        <v>135</v>
      </c>
      <c r="C77" s="125"/>
      <c r="D77" s="78" t="s">
        <v>77</v>
      </c>
      <c r="E77" s="79" t="s">
        <v>86</v>
      </c>
      <c r="F77" s="83">
        <f>SUM(Grass_45[Amount])</f>
        <v>0</v>
      </c>
      <c r="G77" s="84">
        <f>SUM(Tree_45[Amount])</f>
        <v>0</v>
      </c>
      <c r="H77" s="84">
        <f>SUM(Pest_45[Amount])</f>
        <v>0</v>
      </c>
      <c r="I77" s="84">
        <f>SUM(Garbage_45[Amount])</f>
        <v>0</v>
      </c>
      <c r="J77" s="84">
        <f>SUM(Boarding_45[Amount])</f>
        <v>0</v>
      </c>
      <c r="K77" s="84">
        <f>SUM(Fence_45[Amount])</f>
        <v>0</v>
      </c>
      <c r="L77" s="84">
        <f>SUM(Demolition_45[Amount])</f>
        <v>22610</v>
      </c>
      <c r="M77" s="84">
        <f>SUM(Rehab_45[Amount])</f>
        <v>0</v>
      </c>
      <c r="N77" s="123">
        <f>SUM(Summary_Sheet[[#This Row],[Cutting grass/ neglected weeds]:[Rehabilitation]])</f>
        <v>22610</v>
      </c>
    </row>
    <row r="78" spans="1:14" x14ac:dyDescent="0.3">
      <c r="A78" s="95">
        <v>46</v>
      </c>
      <c r="B78" s="139" t="s">
        <v>136</v>
      </c>
      <c r="C78" s="127"/>
      <c r="D78" s="80" t="s">
        <v>77</v>
      </c>
      <c r="E78" s="81" t="s">
        <v>83</v>
      </c>
      <c r="F78" s="121">
        <f>SUM(Grass_46[Amount])</f>
        <v>0</v>
      </c>
      <c r="G78" s="122">
        <f>SUM(Tree_46[Amount])</f>
        <v>0</v>
      </c>
      <c r="H78" s="122">
        <f>SUM(Pest_46[Amount])</f>
        <v>0</v>
      </c>
      <c r="I78" s="122">
        <f>SUM(Garbage_46[Amount])</f>
        <v>0</v>
      </c>
      <c r="J78" s="122">
        <f>SUM(Boarding_46[Amount])</f>
        <v>0</v>
      </c>
      <c r="K78" s="122">
        <f>SUM(Fence_46[Amount])</f>
        <v>0</v>
      </c>
      <c r="L78" s="122">
        <f>SUM(Demolition_46[Amount])</f>
        <v>21310</v>
      </c>
      <c r="M78" s="122">
        <f>SUM(Rehab_46[Amount])</f>
        <v>0</v>
      </c>
      <c r="N78" s="124">
        <f>SUM(Summary_Sheet[[#This Row],[Cutting grass/ neglected weeds]:[Rehabilitation]])</f>
        <v>21310</v>
      </c>
    </row>
    <row r="79" spans="1:14" x14ac:dyDescent="0.3">
      <c r="A79" s="128">
        <v>47</v>
      </c>
      <c r="B79" s="139" t="s">
        <v>137</v>
      </c>
      <c r="C79" s="125"/>
      <c r="D79" s="78" t="s">
        <v>76</v>
      </c>
      <c r="E79" s="79" t="s">
        <v>83</v>
      </c>
      <c r="F79" s="83">
        <f>SUM(Grass_47[Amount])</f>
        <v>0</v>
      </c>
      <c r="G79" s="84">
        <f>SUM(Tree_47[Amount])</f>
        <v>0</v>
      </c>
      <c r="H79" s="84">
        <f>SUM(Pest_47[Amount])</f>
        <v>0</v>
      </c>
      <c r="I79" s="84">
        <f>SUM(Garbage_47[Amount])</f>
        <v>0</v>
      </c>
      <c r="J79" s="84">
        <f>SUM(Boarding_47[Amount])</f>
        <v>0</v>
      </c>
      <c r="K79" s="84">
        <f>SUM(Fence_47[Amount])</f>
        <v>0</v>
      </c>
      <c r="L79" s="84">
        <f>SUM(Demolition_47[Amount])</f>
        <v>22210</v>
      </c>
      <c r="M79" s="84">
        <f>SUM(Rehab_47[Amount])</f>
        <v>0</v>
      </c>
      <c r="N79" s="123">
        <f>SUM(Summary_Sheet[[#This Row],[Cutting grass/ neglected weeds]:[Rehabilitation]])</f>
        <v>22210</v>
      </c>
    </row>
    <row r="80" spans="1:14" x14ac:dyDescent="0.3">
      <c r="A80" s="95">
        <v>48</v>
      </c>
      <c r="B80" s="139" t="s">
        <v>138</v>
      </c>
      <c r="C80" s="127"/>
      <c r="D80" s="80" t="s">
        <v>77</v>
      </c>
      <c r="E80" s="81" t="s">
        <v>83</v>
      </c>
      <c r="F80" s="121">
        <f>SUM(Grass_48[Amount])</f>
        <v>0</v>
      </c>
      <c r="G80" s="122">
        <f>SUM(Tree_48[Amount])</f>
        <v>0</v>
      </c>
      <c r="H80" s="122">
        <f>SUM(Pest_48[Amount])</f>
        <v>0</v>
      </c>
      <c r="I80" s="122">
        <f>SUM(Garbage_48[Amount])</f>
        <v>0</v>
      </c>
      <c r="J80" s="122">
        <f>SUM(Boarding_48[Amount])</f>
        <v>0</v>
      </c>
      <c r="K80" s="122">
        <f>SUM(Fence_48[Amount])</f>
        <v>0</v>
      </c>
      <c r="L80" s="122">
        <f>SUM(Demolition_48[Amount])</f>
        <v>20510</v>
      </c>
      <c r="M80" s="122">
        <f>SUM(Rehab_48[Amount])</f>
        <v>0</v>
      </c>
      <c r="N80" s="124">
        <f>SUM(Summary_Sheet[[#This Row],[Cutting grass/ neglected weeds]:[Rehabilitation]])</f>
        <v>20510</v>
      </c>
    </row>
    <row r="81" spans="1:16" x14ac:dyDescent="0.3">
      <c r="A81" s="128">
        <v>49</v>
      </c>
      <c r="B81" s="139" t="s">
        <v>139</v>
      </c>
      <c r="C81" s="125"/>
      <c r="D81" s="78" t="s">
        <v>78</v>
      </c>
      <c r="E81" s="79" t="s">
        <v>108</v>
      </c>
      <c r="F81" s="83">
        <f>SUM(Grass_49[Amount])</f>
        <v>0</v>
      </c>
      <c r="G81" s="84">
        <f>SUM(Tree_49[Amount])</f>
        <v>0</v>
      </c>
      <c r="H81" s="84">
        <f>SUM(Pest_49[Amount])</f>
        <v>0</v>
      </c>
      <c r="I81" s="84">
        <f>SUM(Garbage_49[Amount])</f>
        <v>0</v>
      </c>
      <c r="J81" s="84">
        <f>SUM(Boarding_49[Amount])</f>
        <v>0</v>
      </c>
      <c r="K81" s="84">
        <f>SUM(Fence_49[Amount])</f>
        <v>0</v>
      </c>
      <c r="L81" s="84">
        <f>SUM(Demolition_49[Amount])</f>
        <v>37410</v>
      </c>
      <c r="M81" s="84">
        <f>SUM(Rehab_49[Amount])</f>
        <v>0</v>
      </c>
      <c r="N81" s="123">
        <f>SUM(Summary_Sheet[[#This Row],[Cutting grass/ neglected weeds]:[Rehabilitation]])</f>
        <v>37410</v>
      </c>
    </row>
    <row r="82" spans="1:16" x14ac:dyDescent="0.3">
      <c r="A82" s="95">
        <v>50</v>
      </c>
      <c r="B82" s="139" t="s">
        <v>140</v>
      </c>
      <c r="C82" s="127"/>
      <c r="D82" s="80" t="s">
        <v>76</v>
      </c>
      <c r="E82" s="81" t="s">
        <v>83</v>
      </c>
      <c r="F82" s="121">
        <f>SUM(Grass_50[Amount])</f>
        <v>0</v>
      </c>
      <c r="G82" s="122">
        <f>SUM(Tree_50[Amount])</f>
        <v>0</v>
      </c>
      <c r="H82" s="122">
        <f>SUM(Pest_50[Amount])</f>
        <v>0</v>
      </c>
      <c r="I82" s="122">
        <f>SUM(Garbage_50[Amount])</f>
        <v>0</v>
      </c>
      <c r="J82" s="122">
        <f>SUM(Boarding_50[Amount])</f>
        <v>0</v>
      </c>
      <c r="K82" s="122">
        <f>SUM(Fence_50[Amount])</f>
        <v>0</v>
      </c>
      <c r="L82" s="122">
        <f>SUM(Demolition_50[Amount])</f>
        <v>21510</v>
      </c>
      <c r="M82" s="122">
        <f>SUM(Rehab_50[Amount])</f>
        <v>0</v>
      </c>
      <c r="N82" s="124">
        <f>SUM(Summary_Sheet[[#This Row],[Cutting grass/ neglected weeds]:[Rehabilitation]])</f>
        <v>21510</v>
      </c>
    </row>
    <row r="83" spans="1:16" x14ac:dyDescent="0.3">
      <c r="A83" s="128">
        <v>51</v>
      </c>
      <c r="B83" s="139" t="s">
        <v>141</v>
      </c>
      <c r="C83" s="136"/>
      <c r="D83" s="140" t="s">
        <v>77</v>
      </c>
      <c r="E83" s="138" t="s">
        <v>83</v>
      </c>
      <c r="F83" s="83">
        <f>SUM(Grass_51[Amount])</f>
        <v>0</v>
      </c>
      <c r="G83" s="84">
        <f>SUM(Tree_51[Amount])</f>
        <v>0</v>
      </c>
      <c r="H83" s="84">
        <f>SUM(Pest_51[Amount])</f>
        <v>0</v>
      </c>
      <c r="I83" s="84">
        <f>SUM(Garbage_51[Amount])</f>
        <v>0</v>
      </c>
      <c r="J83" s="84">
        <f>SUM(Boarding_51[Amount])</f>
        <v>0</v>
      </c>
      <c r="K83" s="84">
        <f>SUM(Fence_51[Amount])</f>
        <v>0</v>
      </c>
      <c r="L83" s="84">
        <f>SUM(Demolition_51[Amount])</f>
        <v>8900</v>
      </c>
      <c r="M83" s="84">
        <f>SUM(Rehab_51[Amount])</f>
        <v>0</v>
      </c>
      <c r="N83" s="123">
        <f>SUM(Summary_Sheet[[#This Row],[Cutting grass/ neglected weeds]:[Rehabilitation]])</f>
        <v>8900</v>
      </c>
      <c r="O83" s="118"/>
      <c r="P83" s="118"/>
    </row>
    <row r="84" spans="1:16" x14ac:dyDescent="0.3">
      <c r="A84" s="95">
        <v>52</v>
      </c>
      <c r="B84" s="139" t="s">
        <v>142</v>
      </c>
      <c r="C84" s="133"/>
      <c r="D84" s="116" t="s">
        <v>77</v>
      </c>
      <c r="E84" s="117" t="s">
        <v>86</v>
      </c>
      <c r="F84" s="121">
        <f>SUM(Grass_52[Amount])</f>
        <v>0</v>
      </c>
      <c r="G84" s="122">
        <f>SUM(Tree_52[Amount])</f>
        <v>0</v>
      </c>
      <c r="H84" s="122">
        <f>SUM(Pest_52[Amount])</f>
        <v>0</v>
      </c>
      <c r="I84" s="122">
        <f>SUM(Garbage_52[Amount])</f>
        <v>0</v>
      </c>
      <c r="J84" s="122">
        <f>SUM(Boarding_52[Amount])</f>
        <v>0</v>
      </c>
      <c r="K84" s="122">
        <f>SUM(Fence_52[Amount])</f>
        <v>0</v>
      </c>
      <c r="L84" s="122">
        <f>SUM(Demolition_52[Amount])</f>
        <v>21810</v>
      </c>
      <c r="M84" s="122">
        <f>SUM(Rehab_52[Amount])</f>
        <v>0</v>
      </c>
      <c r="N84" s="124">
        <f>SUM(Summary_Sheet[[#This Row],[Cutting grass/ neglected weeds]:[Rehabilitation]])</f>
        <v>21810</v>
      </c>
      <c r="O84" s="118"/>
      <c r="P84" s="118"/>
    </row>
    <row r="85" spans="1:16" x14ac:dyDescent="0.3">
      <c r="A85" s="128">
        <v>53</v>
      </c>
      <c r="B85" s="139" t="s">
        <v>143</v>
      </c>
      <c r="C85" s="136"/>
      <c r="D85" s="140" t="s">
        <v>78</v>
      </c>
      <c r="E85" s="138" t="s">
        <v>83</v>
      </c>
      <c r="F85" s="83">
        <f>SUM(Grass_53[Amount])</f>
        <v>0</v>
      </c>
      <c r="G85" s="84">
        <f>SUM(Tree_53[Amount])</f>
        <v>0</v>
      </c>
      <c r="H85" s="84">
        <f>SUM(Pest_53[Amount])</f>
        <v>0</v>
      </c>
      <c r="I85" s="84">
        <f>SUM(Garbage_53[Amount])</f>
        <v>0</v>
      </c>
      <c r="J85" s="84">
        <f>SUM(Boarding_53[Amount])</f>
        <v>0</v>
      </c>
      <c r="K85" s="84">
        <f>SUM(Fence_53[Amount])</f>
        <v>0</v>
      </c>
      <c r="L85" s="84">
        <f>SUM(Demolition_53[Amount])</f>
        <v>56510</v>
      </c>
      <c r="M85" s="84">
        <f>SUM(Rehab_53[Amount])</f>
        <v>0</v>
      </c>
      <c r="N85" s="123">
        <f>SUM(Summary_Sheet[[#This Row],[Cutting grass/ neglected weeds]:[Rehabilitation]])</f>
        <v>56510</v>
      </c>
      <c r="O85" s="118"/>
      <c r="P85" s="118"/>
    </row>
    <row r="86" spans="1:16" x14ac:dyDescent="0.3">
      <c r="A86" s="95">
        <v>54</v>
      </c>
      <c r="B86" s="139" t="s">
        <v>144</v>
      </c>
      <c r="C86" s="133"/>
      <c r="D86" s="116" t="s">
        <v>80</v>
      </c>
      <c r="E86" s="117" t="s">
        <v>86</v>
      </c>
      <c r="F86" s="121">
        <f>SUM(Grass_54[Amount])</f>
        <v>0</v>
      </c>
      <c r="G86" s="122">
        <f>SUM(Tree_54[Amount])</f>
        <v>0</v>
      </c>
      <c r="H86" s="122">
        <f>SUM(Pest_54[Amount])</f>
        <v>0</v>
      </c>
      <c r="I86" s="122">
        <f>SUM(Garbage_54[Amount])</f>
        <v>0</v>
      </c>
      <c r="J86" s="122">
        <f>SUM(Boarding_54[Amount])</f>
        <v>0</v>
      </c>
      <c r="K86" s="122">
        <f>SUM(Fence_54[Amount])</f>
        <v>0</v>
      </c>
      <c r="L86" s="122">
        <f>SUM(Demolition_54[Amount])</f>
        <v>21810</v>
      </c>
      <c r="M86" s="122">
        <f>SUM(Rehab_54[Amount])</f>
        <v>0</v>
      </c>
      <c r="N86" s="124">
        <f>SUM(Summary_Sheet[[#This Row],[Cutting grass/ neglected weeds]:[Rehabilitation]])</f>
        <v>21810</v>
      </c>
      <c r="O86" s="118"/>
      <c r="P86" s="118"/>
    </row>
    <row r="87" spans="1:16" x14ac:dyDescent="0.3">
      <c r="A87" s="128">
        <v>55</v>
      </c>
      <c r="B87" s="139" t="s">
        <v>145</v>
      </c>
      <c r="C87" s="136"/>
      <c r="D87" s="140" t="s">
        <v>76</v>
      </c>
      <c r="E87" s="138" t="s">
        <v>83</v>
      </c>
      <c r="F87" s="83">
        <f>SUM(Grass_55[Amount])</f>
        <v>0</v>
      </c>
      <c r="G87" s="84">
        <f>SUM(Tree_55[Amount])</f>
        <v>0</v>
      </c>
      <c r="H87" s="84">
        <f>SUM(Pest_55[Amount])</f>
        <v>0</v>
      </c>
      <c r="I87" s="84">
        <f>SUM(Garbage_55[Amount])</f>
        <v>0</v>
      </c>
      <c r="J87" s="84">
        <f>SUM(Boarding_55[Amount])</f>
        <v>0</v>
      </c>
      <c r="K87" s="84">
        <f>SUM(Fence_55[Amount])</f>
        <v>0</v>
      </c>
      <c r="L87" s="84">
        <f>SUM(Demolition_55[Amount])</f>
        <v>18510</v>
      </c>
      <c r="M87" s="84">
        <f>SUM(Rehab_55[Amount])</f>
        <v>0</v>
      </c>
      <c r="N87" s="123">
        <f>SUM(Summary_Sheet[[#This Row],[Cutting grass/ neglected weeds]:[Rehabilitation]])</f>
        <v>18510</v>
      </c>
      <c r="O87" s="118"/>
      <c r="P87" s="118"/>
    </row>
    <row r="88" spans="1:16" x14ac:dyDescent="0.3">
      <c r="A88" s="95">
        <v>56</v>
      </c>
      <c r="B88" s="139" t="s">
        <v>146</v>
      </c>
      <c r="C88" s="133"/>
      <c r="D88" s="140" t="s">
        <v>76</v>
      </c>
      <c r="E88" s="117" t="s">
        <v>83</v>
      </c>
      <c r="F88" s="121">
        <f>SUM(Grass_56[Amount])</f>
        <v>0</v>
      </c>
      <c r="G88" s="122">
        <f>SUM(Tree_56[Amount])</f>
        <v>0</v>
      </c>
      <c r="H88" s="122">
        <f>SUM(Pest_56[Amount])</f>
        <v>0</v>
      </c>
      <c r="I88" s="122">
        <f>SUM(Garbage_56[Amount])</f>
        <v>0</v>
      </c>
      <c r="J88" s="122">
        <f>SUM(Boarding_56[Amount])</f>
        <v>0</v>
      </c>
      <c r="K88" s="122">
        <f>SUM(Fence_56[Amount])</f>
        <v>0</v>
      </c>
      <c r="L88" s="122">
        <f>SUM(Demolition_56[Amount])</f>
        <v>18510</v>
      </c>
      <c r="M88" s="122">
        <f>SUM(Rehab_56[Amount])</f>
        <v>0</v>
      </c>
      <c r="N88" s="124">
        <f>SUM(Summary_Sheet[[#This Row],[Cutting grass/ neglected weeds]:[Rehabilitation]])</f>
        <v>18510</v>
      </c>
      <c r="O88" s="118"/>
      <c r="P88" s="118"/>
    </row>
    <row r="89" spans="1:16" x14ac:dyDescent="0.3">
      <c r="A89" s="128">
        <v>57</v>
      </c>
      <c r="B89" s="139" t="s">
        <v>147</v>
      </c>
      <c r="C89" s="136"/>
      <c r="D89" s="140" t="s">
        <v>76</v>
      </c>
      <c r="E89" s="138" t="s">
        <v>83</v>
      </c>
      <c r="F89" s="83">
        <f>SUM(Grass_57[Amount])</f>
        <v>0</v>
      </c>
      <c r="G89" s="84">
        <f>SUM(Tree_57[Amount])</f>
        <v>0</v>
      </c>
      <c r="H89" s="84">
        <f>SUM(Pest_57[Amount])</f>
        <v>0</v>
      </c>
      <c r="I89" s="84">
        <f>SUM(Garbage_57[Amount])</f>
        <v>0</v>
      </c>
      <c r="J89" s="84">
        <f>SUM(Boarding_57[Amount])</f>
        <v>0</v>
      </c>
      <c r="K89" s="84">
        <f>SUM(Fence_57[Amount])</f>
        <v>0</v>
      </c>
      <c r="L89" s="84">
        <f>SUM(Demolition_57[Amount])</f>
        <v>23510</v>
      </c>
      <c r="M89" s="84">
        <f>SUM(Rehab_57[Amount])</f>
        <v>0</v>
      </c>
      <c r="N89" s="123">
        <f>SUM(Summary_Sheet[[#This Row],[Cutting grass/ neglected weeds]:[Rehabilitation]])</f>
        <v>23510</v>
      </c>
      <c r="O89" s="118"/>
      <c r="P89" s="118"/>
    </row>
    <row r="90" spans="1:16" x14ac:dyDescent="0.3">
      <c r="A90" s="95">
        <v>58</v>
      </c>
      <c r="B90" s="139" t="s">
        <v>148</v>
      </c>
      <c r="C90" s="133"/>
      <c r="D90" s="140" t="s">
        <v>76</v>
      </c>
      <c r="E90" s="117" t="s">
        <v>83</v>
      </c>
      <c r="F90" s="121">
        <f>SUM(Grass_58[Amount])</f>
        <v>0</v>
      </c>
      <c r="G90" s="122">
        <f>SUM(Tree_58[Amount])</f>
        <v>0</v>
      </c>
      <c r="H90" s="122">
        <f>SUM(Pest_58[Amount])</f>
        <v>0</v>
      </c>
      <c r="I90" s="122">
        <f>SUM(Garbage_58[Amount])</f>
        <v>0</v>
      </c>
      <c r="J90" s="122">
        <f>SUM(Boarding_58[Amount])</f>
        <v>0</v>
      </c>
      <c r="K90" s="122">
        <f>SUM(Fence_58[Amount])</f>
        <v>0</v>
      </c>
      <c r="L90" s="122">
        <f>SUM(Demolition_58[Amount])</f>
        <v>19010</v>
      </c>
      <c r="M90" s="122">
        <f>SUM(Rehab_58[Amount])</f>
        <v>0</v>
      </c>
      <c r="N90" s="124">
        <f>SUM(Summary_Sheet[[#This Row],[Cutting grass/ neglected weeds]:[Rehabilitation]])</f>
        <v>19010</v>
      </c>
      <c r="O90" s="118"/>
      <c r="P90" s="118"/>
    </row>
    <row r="91" spans="1:16" x14ac:dyDescent="0.3">
      <c r="A91" s="128">
        <v>59</v>
      </c>
      <c r="B91" s="141" t="s">
        <v>149</v>
      </c>
      <c r="C91" s="136"/>
      <c r="D91" s="140" t="s">
        <v>76</v>
      </c>
      <c r="E91" s="138" t="s">
        <v>83</v>
      </c>
      <c r="F91" s="83">
        <f>SUM(Grass_59[Amount])</f>
        <v>0</v>
      </c>
      <c r="G91" s="84">
        <f>SUM(Tree_59[Amount])</f>
        <v>0</v>
      </c>
      <c r="H91" s="84">
        <f>SUM(Pest_59[Amount])</f>
        <v>0</v>
      </c>
      <c r="I91" s="84">
        <f>SUM(Garbage_59[Amount])</f>
        <v>0</v>
      </c>
      <c r="J91" s="84">
        <f>SUM(Boarding_59[Amount])</f>
        <v>0</v>
      </c>
      <c r="K91" s="84">
        <f>SUM(Fence_59[Amount])</f>
        <v>0</v>
      </c>
      <c r="L91" s="84">
        <f>SUM(Demolition_59[Amount])</f>
        <v>16410</v>
      </c>
      <c r="M91" s="84">
        <f>SUM(Rehab_59[Amount])</f>
        <v>0</v>
      </c>
      <c r="N91" s="123">
        <f>SUM(Summary_Sheet[[#This Row],[Cutting grass/ neglected weeds]:[Rehabilitation]])</f>
        <v>16410</v>
      </c>
      <c r="O91" s="118"/>
      <c r="P91" s="118"/>
    </row>
    <row r="92" spans="1:16" x14ac:dyDescent="0.3">
      <c r="A92" s="95">
        <v>60</v>
      </c>
      <c r="B92" s="132" t="s">
        <v>150</v>
      </c>
      <c r="C92" s="133"/>
      <c r="D92" s="140" t="s">
        <v>76</v>
      </c>
      <c r="E92" s="117" t="s">
        <v>86</v>
      </c>
      <c r="F92" s="121">
        <f>SUM(Grass_60[Amount])</f>
        <v>0</v>
      </c>
      <c r="G92" s="122">
        <f>SUM(Tree_60[Amount])</f>
        <v>0</v>
      </c>
      <c r="H92" s="122">
        <f>SUM(Pest_60[Amount])</f>
        <v>0</v>
      </c>
      <c r="I92" s="122">
        <f>SUM(Garbage_60[Amount])</f>
        <v>0</v>
      </c>
      <c r="J92" s="122">
        <f>SUM(Boarding_60[Amount])</f>
        <v>0</v>
      </c>
      <c r="K92" s="122">
        <f>SUM(Fence_60[Amount])</f>
        <v>0</v>
      </c>
      <c r="L92" s="122">
        <f>SUM(Demolition_60[Amount])</f>
        <v>24210</v>
      </c>
      <c r="M92" s="122">
        <f>SUM(Rehab_60[Amount])</f>
        <v>0</v>
      </c>
      <c r="N92" s="124">
        <f>SUM(Summary_Sheet[[#This Row],[Cutting grass/ neglected weeds]:[Rehabilitation]])</f>
        <v>24210</v>
      </c>
      <c r="O92" s="118"/>
      <c r="P92" s="118"/>
    </row>
    <row r="93" spans="1:16" x14ac:dyDescent="0.3">
      <c r="A93" s="128">
        <v>61</v>
      </c>
      <c r="B93" s="141" t="s">
        <v>151</v>
      </c>
      <c r="C93" s="136"/>
      <c r="D93" s="140" t="s">
        <v>76</v>
      </c>
      <c r="E93" s="138" t="s">
        <v>83</v>
      </c>
      <c r="F93" s="83">
        <f>SUM(Grass_61[Amount])</f>
        <v>0</v>
      </c>
      <c r="G93" s="84">
        <f>SUM(Tree_61[Amount])</f>
        <v>0</v>
      </c>
      <c r="H93" s="84">
        <f>SUM(Pest_61[Amount])</f>
        <v>0</v>
      </c>
      <c r="I93" s="84">
        <f>SUM(Garbage_61[Amount])</f>
        <v>0</v>
      </c>
      <c r="J93" s="84">
        <f>SUM(Boarding_61[Amount])</f>
        <v>0</v>
      </c>
      <c r="K93" s="84">
        <f>SUM(Fence_61[Amount])</f>
        <v>0</v>
      </c>
      <c r="L93" s="84">
        <f>SUM(Demolition_61[Amount])</f>
        <v>20510</v>
      </c>
      <c r="M93" s="84">
        <f>SUM(Rehab_61[Amount])</f>
        <v>0</v>
      </c>
      <c r="N93" s="123">
        <f>SUM(Summary_Sheet[[#This Row],[Cutting grass/ neglected weeds]:[Rehabilitation]])</f>
        <v>20510</v>
      </c>
      <c r="O93" s="118"/>
      <c r="P93" s="118"/>
    </row>
    <row r="94" spans="1:16" x14ac:dyDescent="0.3">
      <c r="A94" s="95">
        <v>62</v>
      </c>
      <c r="B94" s="115" t="s">
        <v>152</v>
      </c>
      <c r="C94" s="134"/>
      <c r="D94" s="140" t="s">
        <v>76</v>
      </c>
      <c r="E94" s="135" t="s">
        <v>86</v>
      </c>
      <c r="F94" s="121">
        <f>SUM(Grass_62[Amount])</f>
        <v>0</v>
      </c>
      <c r="G94" s="122">
        <f>SUM(Tree_62[Amount])</f>
        <v>0</v>
      </c>
      <c r="H94" s="122">
        <f>SUM(Pest_62[Amount])</f>
        <v>0</v>
      </c>
      <c r="I94" s="122">
        <f>SUM(Garbage_62[Amount])</f>
        <v>0</v>
      </c>
      <c r="J94" s="122">
        <f>SUM(Boarding_62[Amount])</f>
        <v>0</v>
      </c>
      <c r="K94" s="122">
        <f>SUM(Fence_62[Amount])</f>
        <v>0</v>
      </c>
      <c r="L94" s="122">
        <f>SUM(Demolition_62[Amount])</f>
        <v>26210</v>
      </c>
      <c r="M94" s="122">
        <f>SUM(Rehab_62[Amount])</f>
        <v>0</v>
      </c>
      <c r="N94" s="124">
        <f>SUM(Summary_Sheet[[#This Row],[Cutting grass/ neglected weeds]:[Rehabilitation]])</f>
        <v>26210</v>
      </c>
      <c r="O94" s="118"/>
      <c r="P94" s="118"/>
    </row>
    <row r="95" spans="1:16" x14ac:dyDescent="0.3">
      <c r="A95" s="128">
        <v>63</v>
      </c>
      <c r="B95" s="141" t="s">
        <v>153</v>
      </c>
      <c r="C95" s="125"/>
      <c r="D95" s="140" t="s">
        <v>76</v>
      </c>
      <c r="E95" s="79" t="s">
        <v>83</v>
      </c>
      <c r="F95" s="83">
        <f>SUM(Grass_63[Amount])</f>
        <v>0</v>
      </c>
      <c r="G95" s="84">
        <f>SUM(Tree_63[Amount])</f>
        <v>0</v>
      </c>
      <c r="H95" s="84">
        <f>SUM(Pest_63[Amount])</f>
        <v>0</v>
      </c>
      <c r="I95" s="84">
        <f>SUM(Garbage_63[Amount])</f>
        <v>0</v>
      </c>
      <c r="J95" s="84">
        <f>SUM(Boarding_63[Amount])</f>
        <v>0</v>
      </c>
      <c r="K95" s="84">
        <f>SUM(Fence_63[Amount])</f>
        <v>0</v>
      </c>
      <c r="L95" s="84">
        <f>SUM(Demolition_63[Amount])</f>
        <v>16910</v>
      </c>
      <c r="M95" s="84">
        <f>SUM(Rehab_63[Amount])</f>
        <v>0</v>
      </c>
      <c r="N95" s="123">
        <f>SUM(Summary_Sheet[[#This Row],[Cutting grass/ neglected weeds]:[Rehabilitation]])</f>
        <v>16910</v>
      </c>
    </row>
    <row r="96" spans="1:16" x14ac:dyDescent="0.3">
      <c r="A96" s="95">
        <v>64</v>
      </c>
      <c r="B96" s="115" t="s">
        <v>154</v>
      </c>
      <c r="C96" s="127"/>
      <c r="D96" s="140" t="s">
        <v>76</v>
      </c>
      <c r="E96" s="81" t="s">
        <v>83</v>
      </c>
      <c r="F96" s="121">
        <f>SUM(Grass_64[Amount])</f>
        <v>0</v>
      </c>
      <c r="G96" s="122">
        <f>SUM(Tree_64[Amount])</f>
        <v>0</v>
      </c>
      <c r="H96" s="122">
        <f>SUM(Pest_64[Amount])</f>
        <v>0</v>
      </c>
      <c r="I96" s="122">
        <f>SUM(Garbage_64[Amount])</f>
        <v>0</v>
      </c>
      <c r="J96" s="122">
        <f>SUM(Boarding_64[Amount])</f>
        <v>0</v>
      </c>
      <c r="K96" s="122">
        <f>SUM(Fence_64[Amount])</f>
        <v>0</v>
      </c>
      <c r="L96" s="122">
        <f>SUM(Demolition_64[Amount])</f>
        <v>20510</v>
      </c>
      <c r="M96" s="122">
        <f>SUM(Rehab_64[Amount])</f>
        <v>0</v>
      </c>
      <c r="N96" s="124">
        <f>SUM(Summary_Sheet[[#This Row],[Cutting grass/ neglected weeds]:[Rehabilitation]])</f>
        <v>20510</v>
      </c>
    </row>
    <row r="97" spans="1:14" x14ac:dyDescent="0.3">
      <c r="A97" s="128">
        <v>65</v>
      </c>
      <c r="B97" s="141" t="s">
        <v>155</v>
      </c>
      <c r="C97" s="125"/>
      <c r="D97" s="140" t="s">
        <v>76</v>
      </c>
      <c r="E97" s="79" t="s">
        <v>83</v>
      </c>
      <c r="F97" s="83">
        <f>SUM(Grass_65[Amount])</f>
        <v>0</v>
      </c>
      <c r="G97" s="84">
        <f>SUM(Tree_65[Amount])</f>
        <v>0</v>
      </c>
      <c r="H97" s="84">
        <f>SUM(Pest_65[Amount])</f>
        <v>0</v>
      </c>
      <c r="I97" s="84">
        <f>SUM(Garbage_65[Amount])</f>
        <v>0</v>
      </c>
      <c r="J97" s="84">
        <f>SUM(Boarding_65[Amount])</f>
        <v>0</v>
      </c>
      <c r="K97" s="84">
        <f>SUM(Fence_65[Amount])</f>
        <v>0</v>
      </c>
      <c r="L97" s="84">
        <f>SUM(Demolition_65[Amount])</f>
        <v>24810</v>
      </c>
      <c r="M97" s="84">
        <f>SUM(Rehab_65[Amount])</f>
        <v>0</v>
      </c>
      <c r="N97" s="123">
        <f>SUM(Summary_Sheet[[#This Row],[Cutting grass/ neglected weeds]:[Rehabilitation]])</f>
        <v>24810</v>
      </c>
    </row>
    <row r="98" spans="1:14" x14ac:dyDescent="0.3">
      <c r="A98" s="95">
        <v>66</v>
      </c>
      <c r="B98" s="115" t="s">
        <v>156</v>
      </c>
      <c r="C98" s="127"/>
      <c r="D98" s="140" t="s">
        <v>76</v>
      </c>
      <c r="E98" s="81" t="s">
        <v>83</v>
      </c>
      <c r="F98" s="121">
        <f>SUM(Grass_66[Amount])</f>
        <v>0</v>
      </c>
      <c r="G98" s="122">
        <f>SUM(Tree_66[Amount])</f>
        <v>0</v>
      </c>
      <c r="H98" s="122">
        <f>SUM(Pest_66[Amount])</f>
        <v>0</v>
      </c>
      <c r="I98" s="122">
        <f>SUM(Garbage_66[Amount])</f>
        <v>0</v>
      </c>
      <c r="J98" s="122">
        <f>SUM(Boarding_66[Amount])</f>
        <v>0</v>
      </c>
      <c r="K98" s="122">
        <f>SUM(Fence_66[Amount])</f>
        <v>0</v>
      </c>
      <c r="L98" s="122">
        <f>SUM(Demolition_66[Amount])</f>
        <v>17310</v>
      </c>
      <c r="M98" s="122">
        <f>SUM(Rehab_66[Amount])</f>
        <v>0</v>
      </c>
      <c r="N98" s="124">
        <f>SUM(Summary_Sheet[[#This Row],[Cutting grass/ neglected weeds]:[Rehabilitation]])</f>
        <v>17310</v>
      </c>
    </row>
    <row r="99" spans="1:14" x14ac:dyDescent="0.3">
      <c r="A99" s="128">
        <v>67</v>
      </c>
      <c r="B99" s="141" t="s">
        <v>157</v>
      </c>
      <c r="C99" s="125"/>
      <c r="D99" s="140" t="s">
        <v>76</v>
      </c>
      <c r="E99" s="79" t="s">
        <v>83</v>
      </c>
      <c r="F99" s="83">
        <f>SUM(Grass_67[Amount])</f>
        <v>0</v>
      </c>
      <c r="G99" s="84">
        <f>SUM(Tree_67[Amount])</f>
        <v>0</v>
      </c>
      <c r="H99" s="84">
        <f>SUM(Pest_67[Amount])</f>
        <v>0</v>
      </c>
      <c r="I99" s="84">
        <f>SUM(Garbage_67[Amount])</f>
        <v>0</v>
      </c>
      <c r="J99" s="84">
        <f>SUM(Boarding_67[Amount])</f>
        <v>0</v>
      </c>
      <c r="K99" s="84">
        <f>SUM(Fence_67[Amount])</f>
        <v>0</v>
      </c>
      <c r="L99" s="84">
        <f>SUM(Demolition_67[Amount])</f>
        <v>21210</v>
      </c>
      <c r="M99" s="84">
        <f>SUM(Rehab_67[Amount])</f>
        <v>0</v>
      </c>
      <c r="N99" s="123">
        <f>SUM(Summary_Sheet[[#This Row],[Cutting grass/ neglected weeds]:[Rehabilitation]])</f>
        <v>21210</v>
      </c>
    </row>
    <row r="100" spans="1:14" x14ac:dyDescent="0.3">
      <c r="A100" s="95">
        <v>68</v>
      </c>
      <c r="B100" s="115" t="s">
        <v>158</v>
      </c>
      <c r="C100" s="127"/>
      <c r="D100" s="140" t="s">
        <v>76</v>
      </c>
      <c r="E100" s="81" t="s">
        <v>83</v>
      </c>
      <c r="F100" s="121">
        <f>SUM(Grass_68[Amount])</f>
        <v>0</v>
      </c>
      <c r="G100" s="122">
        <f>SUM(Tree_68[Amount])</f>
        <v>0</v>
      </c>
      <c r="H100" s="122">
        <f>SUM(Pest_68[Amount])</f>
        <v>0</v>
      </c>
      <c r="I100" s="122">
        <f>SUM(Garbage_68[Amount])</f>
        <v>0</v>
      </c>
      <c r="J100" s="122">
        <f>SUM(Boarding_68[Amount])</f>
        <v>0</v>
      </c>
      <c r="K100" s="122">
        <f>SUM(Fence_68[Amount])</f>
        <v>0</v>
      </c>
      <c r="L100" s="122">
        <f>SUM(Demolition_68[Amount])</f>
        <v>20510</v>
      </c>
      <c r="M100" s="122">
        <f>SUM(Rehab_68[Amount])</f>
        <v>0</v>
      </c>
      <c r="N100" s="124">
        <f>SUM(Summary_Sheet[[#This Row],[Cutting grass/ neglected weeds]:[Rehabilitation]])</f>
        <v>20510</v>
      </c>
    </row>
    <row r="101" spans="1:14" x14ac:dyDescent="0.3">
      <c r="A101" s="128">
        <v>69</v>
      </c>
      <c r="B101" s="141" t="s">
        <v>159</v>
      </c>
      <c r="C101" s="125"/>
      <c r="D101" s="140" t="s">
        <v>76</v>
      </c>
      <c r="E101" s="79" t="s">
        <v>86</v>
      </c>
      <c r="F101" s="83">
        <f>SUM(Grass_69[Amount])</f>
        <v>0</v>
      </c>
      <c r="G101" s="84">
        <f>SUM(Tree_69[Amount])</f>
        <v>0</v>
      </c>
      <c r="H101" s="84">
        <f>SUM(Pest_69[Amount])</f>
        <v>0</v>
      </c>
      <c r="I101" s="84">
        <f>SUM(Garbage_69[Amount])</f>
        <v>0</v>
      </c>
      <c r="J101" s="84">
        <f>SUM(Boarding_69[Amount])</f>
        <v>0</v>
      </c>
      <c r="K101" s="84">
        <f>SUM(Fence_69[Amount])</f>
        <v>0</v>
      </c>
      <c r="L101" s="84">
        <f>SUM(Demolition_69[Amount])</f>
        <v>21810</v>
      </c>
      <c r="M101" s="84">
        <f>SUM(Rehab_69[Amount])</f>
        <v>0</v>
      </c>
      <c r="N101" s="123">
        <f>SUM(Summary_Sheet[[#This Row],[Cutting grass/ neglected weeds]:[Rehabilitation]])</f>
        <v>21810</v>
      </c>
    </row>
    <row r="102" spans="1:14" x14ac:dyDescent="0.3">
      <c r="A102" s="95">
        <v>70</v>
      </c>
      <c r="B102" s="115" t="s">
        <v>160</v>
      </c>
      <c r="C102" s="127"/>
      <c r="D102" s="140" t="s">
        <v>76</v>
      </c>
      <c r="E102" s="81" t="s">
        <v>84</v>
      </c>
      <c r="F102" s="121">
        <f>SUM(Grass_70[Amount])</f>
        <v>0</v>
      </c>
      <c r="G102" s="122">
        <f>SUM(Tree_70[Amount])</f>
        <v>0</v>
      </c>
      <c r="H102" s="122">
        <f>SUM(Pest_70[Amount])</f>
        <v>0</v>
      </c>
      <c r="I102" s="122">
        <f>SUM(Garbage_70[Amount])</f>
        <v>0</v>
      </c>
      <c r="J102" s="122">
        <f>SUM(Boarding_70[Amount])</f>
        <v>0</v>
      </c>
      <c r="K102" s="122">
        <f>SUM(Fence_70[Amount])</f>
        <v>0</v>
      </c>
      <c r="L102" s="122">
        <f>SUM(Demolition_70[Amount])</f>
        <v>23210</v>
      </c>
      <c r="M102" s="122">
        <f>SUM(Rehab_70[Amount])</f>
        <v>0</v>
      </c>
      <c r="N102" s="124">
        <f>SUM(Summary_Sheet[[#This Row],[Cutting grass/ neglected weeds]:[Rehabilitation]])</f>
        <v>23210</v>
      </c>
    </row>
    <row r="103" spans="1:14" x14ac:dyDescent="0.3">
      <c r="A103" s="128">
        <v>71</v>
      </c>
      <c r="B103" s="141" t="s">
        <v>161</v>
      </c>
      <c r="C103" s="125"/>
      <c r="D103" s="140" t="s">
        <v>76</v>
      </c>
      <c r="E103" s="79" t="s">
        <v>83</v>
      </c>
      <c r="F103" s="83">
        <f>SUM(Grass_71[Amount])</f>
        <v>0</v>
      </c>
      <c r="G103" s="84">
        <f>SUM(Tree_71[Amount])</f>
        <v>0</v>
      </c>
      <c r="H103" s="84">
        <f>SUM(Pest_71[Amount])</f>
        <v>0</v>
      </c>
      <c r="I103" s="84">
        <f>SUM(Garbage_71[Amount])</f>
        <v>0</v>
      </c>
      <c r="J103" s="84">
        <f>SUM(Boarding_71[Amount])</f>
        <v>0</v>
      </c>
      <c r="K103" s="84">
        <f>SUM(Fence_71[Amount])</f>
        <v>0</v>
      </c>
      <c r="L103" s="84">
        <f>SUM(Demolition_71[Amount])</f>
        <v>22210</v>
      </c>
      <c r="M103" s="84">
        <f>SUM(Rehab_71[Amount])</f>
        <v>0</v>
      </c>
      <c r="N103" s="123">
        <f>SUM(Summary_Sheet[[#This Row],[Cutting grass/ neglected weeds]:[Rehabilitation]])</f>
        <v>22210</v>
      </c>
    </row>
    <row r="104" spans="1:14" x14ac:dyDescent="0.3">
      <c r="A104" s="95">
        <v>72</v>
      </c>
      <c r="B104" s="115" t="s">
        <v>162</v>
      </c>
      <c r="C104" s="127"/>
      <c r="D104" s="140" t="s">
        <v>76</v>
      </c>
      <c r="E104" s="81" t="s">
        <v>83</v>
      </c>
      <c r="F104" s="121">
        <f>SUM(Grass_72[Amount])</f>
        <v>0</v>
      </c>
      <c r="G104" s="122">
        <f>SUM(Tree_72[Amount])</f>
        <v>0</v>
      </c>
      <c r="H104" s="122">
        <f>SUM(Pest_72[Amount])</f>
        <v>0</v>
      </c>
      <c r="I104" s="122">
        <f>SUM(Garbage_72[Amount])</f>
        <v>0</v>
      </c>
      <c r="J104" s="122">
        <f>SUM(Boarding_72[Amount])</f>
        <v>0</v>
      </c>
      <c r="K104" s="122">
        <f>SUM(Fence_72[Amount])</f>
        <v>0</v>
      </c>
      <c r="L104" s="122">
        <f>SUM(Demolition_72[Amount])</f>
        <v>29510</v>
      </c>
      <c r="M104" s="122">
        <f>SUM(Rehab_72[Amount])</f>
        <v>0</v>
      </c>
      <c r="N104" s="124">
        <f>SUM(Summary_Sheet[[#This Row],[Cutting grass/ neglected weeds]:[Rehabilitation]])</f>
        <v>29510</v>
      </c>
    </row>
    <row r="105" spans="1:14" x14ac:dyDescent="0.3">
      <c r="A105" s="128">
        <v>73</v>
      </c>
      <c r="B105" s="141" t="s">
        <v>163</v>
      </c>
      <c r="C105" s="125"/>
      <c r="D105" s="140" t="s">
        <v>76</v>
      </c>
      <c r="E105" s="79" t="s">
        <v>83</v>
      </c>
      <c r="F105" s="83">
        <f>SUM(Grass_73[Amount])</f>
        <v>0</v>
      </c>
      <c r="G105" s="84">
        <f>SUM(Tree_73[Amount])</f>
        <v>0</v>
      </c>
      <c r="H105" s="84">
        <f>SUM(Pest_73[Amount])</f>
        <v>0</v>
      </c>
      <c r="I105" s="84">
        <f>SUM(Garbage_73[Amount])</f>
        <v>0</v>
      </c>
      <c r="J105" s="84">
        <f>SUM(Boarding_73[Amount])</f>
        <v>0</v>
      </c>
      <c r="K105" s="84">
        <f>SUM(Fence_73[Amount])</f>
        <v>0</v>
      </c>
      <c r="L105" s="84">
        <f>SUM(Demolition_73[Amount])</f>
        <v>18010</v>
      </c>
      <c r="M105" s="84">
        <f>SUM(Rehab_73[Amount])</f>
        <v>0</v>
      </c>
      <c r="N105" s="123">
        <f>SUM(Summary_Sheet[[#This Row],[Cutting grass/ neglected weeds]:[Rehabilitation]])</f>
        <v>18010</v>
      </c>
    </row>
    <row r="106" spans="1:14" x14ac:dyDescent="0.3">
      <c r="A106" s="95">
        <v>74</v>
      </c>
      <c r="B106" s="115" t="s">
        <v>164</v>
      </c>
      <c r="C106" s="127"/>
      <c r="D106" s="140" t="s">
        <v>76</v>
      </c>
      <c r="E106" s="81" t="s">
        <v>83</v>
      </c>
      <c r="F106" s="121">
        <f>SUM(Grass_74[Amount])</f>
        <v>0</v>
      </c>
      <c r="G106" s="122">
        <f>SUM(Tree_74[Amount])</f>
        <v>0</v>
      </c>
      <c r="H106" s="122">
        <f>SUM(Pest_74[Amount])</f>
        <v>0</v>
      </c>
      <c r="I106" s="122">
        <f>SUM(Garbage_74[Amount])</f>
        <v>0</v>
      </c>
      <c r="J106" s="122">
        <f>SUM(Boarding_74[Amount])</f>
        <v>0</v>
      </c>
      <c r="K106" s="122">
        <f>SUM(Fence_74[Amount])</f>
        <v>0</v>
      </c>
      <c r="L106" s="122">
        <f>SUM(Demolition_74[Amount])</f>
        <v>34810</v>
      </c>
      <c r="M106" s="122">
        <f>SUM(Rehab_74[Amount])</f>
        <v>0</v>
      </c>
      <c r="N106" s="124">
        <f>SUM(Summary_Sheet[[#This Row],[Cutting grass/ neglected weeds]:[Rehabilitation]])</f>
        <v>34810</v>
      </c>
    </row>
    <row r="107" spans="1:14" x14ac:dyDescent="0.3">
      <c r="A107" s="128">
        <v>75</v>
      </c>
      <c r="B107" s="141" t="s">
        <v>165</v>
      </c>
      <c r="C107" s="125"/>
      <c r="D107" s="140" t="s">
        <v>76</v>
      </c>
      <c r="E107" s="79" t="s">
        <v>108</v>
      </c>
      <c r="F107" s="83">
        <f>SUM(Grass_75[Amount])</f>
        <v>0</v>
      </c>
      <c r="G107" s="84">
        <f>SUM(Tree_75[Amount])</f>
        <v>0</v>
      </c>
      <c r="H107" s="84">
        <f>SUM(Pest_75[Amount])</f>
        <v>0</v>
      </c>
      <c r="I107" s="84">
        <f>SUM(Garbage_75[Amount])</f>
        <v>0</v>
      </c>
      <c r="J107" s="84">
        <f>SUM(Boarding_75[Amount])</f>
        <v>0</v>
      </c>
      <c r="K107" s="84">
        <f>SUM(Fence_75[Amount])</f>
        <v>0</v>
      </c>
      <c r="L107" s="84">
        <f>SUM(Demolition_75[Amount])</f>
        <v>22510</v>
      </c>
      <c r="M107" s="84">
        <f>SUM(Rehab_75[Amount])</f>
        <v>0</v>
      </c>
      <c r="N107" s="123">
        <f>SUM(Summary_Sheet[[#This Row],[Cutting grass/ neglected weeds]:[Rehabilitation]])</f>
        <v>22510</v>
      </c>
    </row>
    <row r="108" spans="1:14" x14ac:dyDescent="0.3">
      <c r="A108" s="95">
        <v>76</v>
      </c>
      <c r="B108" s="115" t="s">
        <v>166</v>
      </c>
      <c r="C108" s="127"/>
      <c r="D108" s="140" t="s">
        <v>76</v>
      </c>
      <c r="E108" s="81" t="s">
        <v>108</v>
      </c>
      <c r="F108" s="121">
        <f>SUM(Grass_76[Amount])</f>
        <v>0</v>
      </c>
      <c r="G108" s="122">
        <f>SUM(Tree_76[Amount])</f>
        <v>0</v>
      </c>
      <c r="H108" s="122">
        <f>SUM(Pest_76[Amount])</f>
        <v>0</v>
      </c>
      <c r="I108" s="122">
        <f>SUM(Garbage_76[Amount])</f>
        <v>0</v>
      </c>
      <c r="J108" s="122">
        <f>SUM(Boarding_76[Amount])</f>
        <v>0</v>
      </c>
      <c r="K108" s="122">
        <f>SUM(Fence_76[Amount])</f>
        <v>0</v>
      </c>
      <c r="L108" s="122">
        <f>SUM(Demolition_76[Amount])</f>
        <v>23310</v>
      </c>
      <c r="M108" s="122">
        <f>SUM(Rehab_76[Amount])</f>
        <v>0</v>
      </c>
      <c r="N108" s="124">
        <f>SUM(Summary_Sheet[[#This Row],[Cutting grass/ neglected weeds]:[Rehabilitation]])</f>
        <v>23310</v>
      </c>
    </row>
    <row r="109" spans="1:14" x14ac:dyDescent="0.3">
      <c r="A109" s="128">
        <v>77</v>
      </c>
      <c r="B109" s="141" t="s">
        <v>167</v>
      </c>
      <c r="C109" s="125"/>
      <c r="D109" s="140" t="s">
        <v>76</v>
      </c>
      <c r="E109" s="79" t="s">
        <v>108</v>
      </c>
      <c r="F109" s="83">
        <f>SUM(Grass_77[Amount])</f>
        <v>0</v>
      </c>
      <c r="G109" s="84">
        <f>SUM(Tree_77[Amount])</f>
        <v>0</v>
      </c>
      <c r="H109" s="84">
        <f>SUM(Pest_77[Amount])</f>
        <v>0</v>
      </c>
      <c r="I109" s="84">
        <f>SUM(Garbage_77[Amount])</f>
        <v>0</v>
      </c>
      <c r="J109" s="84">
        <f>SUM(Boarding_77[Amount])</f>
        <v>0</v>
      </c>
      <c r="K109" s="84">
        <f>SUM(Fence_77[Amount])</f>
        <v>0</v>
      </c>
      <c r="L109" s="84">
        <f>SUM(Demolition_77[Amount])</f>
        <v>31510</v>
      </c>
      <c r="M109" s="84">
        <f>SUM(Rehab_77[Amount])</f>
        <v>0</v>
      </c>
      <c r="N109" s="123">
        <f>SUM(Summary_Sheet[[#This Row],[Cutting grass/ neglected weeds]:[Rehabilitation]])</f>
        <v>31510</v>
      </c>
    </row>
    <row r="110" spans="1:14" x14ac:dyDescent="0.3">
      <c r="A110" s="95">
        <v>78</v>
      </c>
      <c r="B110" s="115" t="s">
        <v>168</v>
      </c>
      <c r="C110" s="127"/>
      <c r="D110" s="140" t="s">
        <v>76</v>
      </c>
      <c r="E110" s="81" t="s">
        <v>81</v>
      </c>
      <c r="F110" s="121">
        <f>SUM(Grass_78[Amount])</f>
        <v>0</v>
      </c>
      <c r="G110" s="122">
        <f>SUM(Tree_78[Amount])</f>
        <v>0</v>
      </c>
      <c r="H110" s="122">
        <f>SUM(Pest_78[Amount])</f>
        <v>0</v>
      </c>
      <c r="I110" s="122">
        <f>SUM(Garbage_78[Amount])</f>
        <v>0</v>
      </c>
      <c r="J110" s="122">
        <f>SUM(Boarding_78[Amount])</f>
        <v>0</v>
      </c>
      <c r="K110" s="122">
        <f>SUM(Fence_78[Amount])</f>
        <v>0</v>
      </c>
      <c r="L110" s="122">
        <f>SUM(Demolition_78[Amount])</f>
        <v>21410</v>
      </c>
      <c r="M110" s="122">
        <f>SUM(Rehab_78[Amount])</f>
        <v>0</v>
      </c>
      <c r="N110" s="124">
        <f>SUM(Summary_Sheet[[#This Row],[Cutting grass/ neglected weeds]:[Rehabilitation]])</f>
        <v>21410</v>
      </c>
    </row>
    <row r="111" spans="1:14" x14ac:dyDescent="0.3">
      <c r="A111" s="128">
        <v>79</v>
      </c>
      <c r="B111" s="141" t="s">
        <v>169</v>
      </c>
      <c r="C111" s="125"/>
      <c r="D111" s="140" t="s">
        <v>76</v>
      </c>
      <c r="E111" s="79" t="s">
        <v>86</v>
      </c>
      <c r="F111" s="83">
        <f>SUM(Grass_79[Amount])</f>
        <v>0</v>
      </c>
      <c r="G111" s="84">
        <f>SUM(Tree_79[Amount])</f>
        <v>0</v>
      </c>
      <c r="H111" s="84">
        <f>SUM(Pest_79[Amount])</f>
        <v>0</v>
      </c>
      <c r="I111" s="84">
        <f>SUM(Garbage_79[Amount])</f>
        <v>0</v>
      </c>
      <c r="J111" s="84">
        <f>SUM(Boarding_79[Amount])</f>
        <v>0</v>
      </c>
      <c r="K111" s="84">
        <f>SUM(Fence_79[Amount])</f>
        <v>0</v>
      </c>
      <c r="L111" s="84">
        <f>SUM(Demolition_79[Amount])</f>
        <v>56410</v>
      </c>
      <c r="M111" s="84">
        <f>SUM(Rehab_79[Amount])</f>
        <v>0</v>
      </c>
      <c r="N111" s="123">
        <f>SUM(Summary_Sheet[[#This Row],[Cutting grass/ neglected weeds]:[Rehabilitation]])</f>
        <v>56410</v>
      </c>
    </row>
    <row r="112" spans="1:14" x14ac:dyDescent="0.3">
      <c r="A112" s="95">
        <v>80</v>
      </c>
      <c r="B112" s="115" t="s">
        <v>170</v>
      </c>
      <c r="C112" s="127"/>
      <c r="D112" s="140" t="s">
        <v>76</v>
      </c>
      <c r="E112" s="81" t="s">
        <v>81</v>
      </c>
      <c r="F112" s="121">
        <f>SUM(Grass_80[Amount])</f>
        <v>0</v>
      </c>
      <c r="G112" s="122">
        <f>SUM(Tree_80[Amount])</f>
        <v>0</v>
      </c>
      <c r="H112" s="122">
        <f>SUM(Pest_80[Amount])</f>
        <v>0</v>
      </c>
      <c r="I112" s="122">
        <f>SUM(Garbage_80[Amount])</f>
        <v>0</v>
      </c>
      <c r="J112" s="122">
        <f>SUM(Boarding_80[Amount])</f>
        <v>0</v>
      </c>
      <c r="K112" s="122">
        <f>SUM(Fence_80[Amount])</f>
        <v>0</v>
      </c>
      <c r="L112" s="122">
        <f>SUM(Demolition_80[Amount])</f>
        <v>25410</v>
      </c>
      <c r="M112" s="122">
        <f>SUM(Rehab_80[Amount])</f>
        <v>0</v>
      </c>
      <c r="N112" s="124">
        <f>SUM(Summary_Sheet[[#This Row],[Cutting grass/ neglected weeds]:[Rehabilitation]])</f>
        <v>25410</v>
      </c>
    </row>
    <row r="113" spans="1:14" x14ac:dyDescent="0.3">
      <c r="A113" s="128">
        <v>81</v>
      </c>
      <c r="B113" s="141" t="s">
        <v>171</v>
      </c>
      <c r="C113" s="125"/>
      <c r="D113" s="140" t="s">
        <v>76</v>
      </c>
      <c r="E113" s="79" t="s">
        <v>81</v>
      </c>
      <c r="F113" s="83">
        <f>SUM(Grass_81[Amount])</f>
        <v>0</v>
      </c>
      <c r="G113" s="84">
        <f>SUM(Tree_81[Amount])</f>
        <v>0</v>
      </c>
      <c r="H113" s="84">
        <f>SUM(Pest_81[Amount])</f>
        <v>0</v>
      </c>
      <c r="I113" s="84">
        <f>SUM(Garbage_81[Amount])</f>
        <v>0</v>
      </c>
      <c r="J113" s="84">
        <f>SUM(Boarding_81[Amount])</f>
        <v>0</v>
      </c>
      <c r="K113" s="84">
        <f>SUM(Fence_81[Amount])</f>
        <v>0</v>
      </c>
      <c r="L113" s="84">
        <f>SUM(Demolition_81[Amount])</f>
        <v>17310</v>
      </c>
      <c r="M113" s="84">
        <f>SUM(Rehab_81[Amount])</f>
        <v>0</v>
      </c>
      <c r="N113" s="123">
        <f>SUM(Summary_Sheet[[#This Row],[Cutting grass/ neglected weeds]:[Rehabilitation]])</f>
        <v>17310</v>
      </c>
    </row>
    <row r="114" spans="1:14" x14ac:dyDescent="0.3">
      <c r="A114" s="95">
        <v>82</v>
      </c>
      <c r="B114" s="115" t="s">
        <v>172</v>
      </c>
      <c r="C114" s="127"/>
      <c r="D114" s="140" t="s">
        <v>76</v>
      </c>
      <c r="E114" s="81" t="s">
        <v>108</v>
      </c>
      <c r="F114" s="121">
        <f>SUM(Grass_82[Amount])</f>
        <v>0</v>
      </c>
      <c r="G114" s="122">
        <f>SUM(Tree_82[Amount])</f>
        <v>0</v>
      </c>
      <c r="H114" s="122">
        <f>SUM(Pest_82[Amount])</f>
        <v>0</v>
      </c>
      <c r="I114" s="122">
        <f>SUM(Garbage_82[Amount])</f>
        <v>0</v>
      </c>
      <c r="J114" s="122">
        <f>SUM(Boarding_82[Amount])</f>
        <v>0</v>
      </c>
      <c r="K114" s="122">
        <f>SUM(Fence_82[Amount])</f>
        <v>0</v>
      </c>
      <c r="L114" s="122">
        <f>SUM(Demolition_82[Amount])</f>
        <v>18810</v>
      </c>
      <c r="M114" s="122">
        <f>SUM(Rehab_82[Amount])</f>
        <v>0</v>
      </c>
      <c r="N114" s="124">
        <f>SUM(Summary_Sheet[[#This Row],[Cutting grass/ neglected weeds]:[Rehabilitation]])</f>
        <v>18810</v>
      </c>
    </row>
    <row r="115" spans="1:14" x14ac:dyDescent="0.3">
      <c r="A115" s="128">
        <v>83</v>
      </c>
      <c r="B115" s="141" t="s">
        <v>173</v>
      </c>
      <c r="C115" s="125"/>
      <c r="D115" s="140" t="s">
        <v>76</v>
      </c>
      <c r="E115" s="79" t="s">
        <v>192</v>
      </c>
      <c r="F115" s="83">
        <f>SUM(Grass_83[Amount])</f>
        <v>0</v>
      </c>
      <c r="G115" s="84">
        <f>SUM(Tree_83[Amount])</f>
        <v>0</v>
      </c>
      <c r="H115" s="84">
        <f>SUM(Pest_83[Amount])</f>
        <v>0</v>
      </c>
      <c r="I115" s="84">
        <f>SUM(Garbage_83[Amount])</f>
        <v>0</v>
      </c>
      <c r="J115" s="84">
        <f>SUM(Boarding_83[Amount])</f>
        <v>0</v>
      </c>
      <c r="K115" s="84">
        <f>SUM(Fence_83[Amount])</f>
        <v>0</v>
      </c>
      <c r="L115" s="84">
        <f>SUM(Demolition_83[Amount])</f>
        <v>29810</v>
      </c>
      <c r="M115" s="84">
        <f>SUM(Rehab_83[Amount])</f>
        <v>0</v>
      </c>
      <c r="N115" s="123">
        <f>SUM(Summary_Sheet[[#This Row],[Cutting grass/ neglected weeds]:[Rehabilitation]])</f>
        <v>29810</v>
      </c>
    </row>
    <row r="116" spans="1:14" x14ac:dyDescent="0.3">
      <c r="A116" s="95">
        <v>84</v>
      </c>
      <c r="B116" s="115" t="s">
        <v>174</v>
      </c>
      <c r="C116" s="127"/>
      <c r="D116" s="140" t="s">
        <v>76</v>
      </c>
      <c r="E116" s="81" t="s">
        <v>81</v>
      </c>
      <c r="F116" s="121">
        <f>SUM(Grass_84[Amount])</f>
        <v>0</v>
      </c>
      <c r="G116" s="122">
        <f>SUM(Tree_84[Amount])</f>
        <v>0</v>
      </c>
      <c r="H116" s="122">
        <f>SUM(Pest_84[Amount])</f>
        <v>0</v>
      </c>
      <c r="I116" s="122">
        <f>SUM(Garbage_84[Amount])</f>
        <v>0</v>
      </c>
      <c r="J116" s="122">
        <f>SUM(Boarding_84[Amount])</f>
        <v>0</v>
      </c>
      <c r="K116" s="122">
        <f>SUM(Fence_84[Amount])</f>
        <v>0</v>
      </c>
      <c r="L116" s="122">
        <f>SUM(Demolition_84[Amount])</f>
        <v>23210</v>
      </c>
      <c r="M116" s="122">
        <f>SUM(Rehab_84[Amount])</f>
        <v>0</v>
      </c>
      <c r="N116" s="124">
        <f>SUM(Summary_Sheet[[#This Row],[Cutting grass/ neglected weeds]:[Rehabilitation]])</f>
        <v>23210</v>
      </c>
    </row>
    <row r="117" spans="1:14" x14ac:dyDescent="0.3">
      <c r="A117" s="128">
        <v>85</v>
      </c>
      <c r="B117" s="141" t="s">
        <v>175</v>
      </c>
      <c r="C117" s="125"/>
      <c r="D117" s="140" t="s">
        <v>76</v>
      </c>
      <c r="E117" s="81" t="s">
        <v>108</v>
      </c>
      <c r="F117" s="83">
        <f>SUM(Grass_85[Amount])</f>
        <v>0</v>
      </c>
      <c r="G117" s="84">
        <f>SUM(Tree_85[Amount])</f>
        <v>0</v>
      </c>
      <c r="H117" s="84">
        <f>SUM(Pest_85[Amount])</f>
        <v>0</v>
      </c>
      <c r="I117" s="84">
        <f>SUM(Garbage_85[Amount])</f>
        <v>0</v>
      </c>
      <c r="J117" s="84">
        <f>SUM(Boarding_85[Amount])</f>
        <v>0</v>
      </c>
      <c r="K117" s="84">
        <f>SUM(Fence_85[Amount])</f>
        <v>0</v>
      </c>
      <c r="L117" s="84">
        <f>SUM(Demolition_85[Amount])</f>
        <v>21210</v>
      </c>
      <c r="M117" s="84">
        <f>SUM(Rehab_85[Amount])</f>
        <v>0</v>
      </c>
      <c r="N117" s="123">
        <f>SUM(Summary_Sheet[[#This Row],[Cutting grass/ neglected weeds]:[Rehabilitation]])</f>
        <v>21210</v>
      </c>
    </row>
    <row r="118" spans="1:14" x14ac:dyDescent="0.3">
      <c r="A118" s="95">
        <v>86</v>
      </c>
      <c r="B118" s="115" t="s">
        <v>176</v>
      </c>
      <c r="C118" s="127"/>
      <c r="D118" s="140" t="s">
        <v>76</v>
      </c>
      <c r="E118" s="81" t="s">
        <v>108</v>
      </c>
      <c r="F118" s="121">
        <f>SUM(Grass_86[Amount])</f>
        <v>0</v>
      </c>
      <c r="G118" s="122">
        <f>SUM(Tree_86[Amount])</f>
        <v>0</v>
      </c>
      <c r="H118" s="122">
        <f>SUM(Pest_86[Amount])</f>
        <v>0</v>
      </c>
      <c r="I118" s="122">
        <f>SUM(Garbage_86[Amount])</f>
        <v>0</v>
      </c>
      <c r="J118" s="122">
        <f>SUM(Boarding_86[Amount])</f>
        <v>0</v>
      </c>
      <c r="K118" s="122">
        <f>SUM(Fence_86[Amount])</f>
        <v>0</v>
      </c>
      <c r="L118" s="122">
        <f>SUM(Demolition_86[Amount])</f>
        <v>27310</v>
      </c>
      <c r="M118" s="122">
        <f>SUM(Rehab_86[Amount])</f>
        <v>0</v>
      </c>
      <c r="N118" s="124">
        <f>SUM(Summary_Sheet[[#This Row],[Cutting grass/ neglected weeds]:[Rehabilitation]])</f>
        <v>27310</v>
      </c>
    </row>
    <row r="119" spans="1:14" x14ac:dyDescent="0.3">
      <c r="A119" s="128">
        <v>87</v>
      </c>
      <c r="B119" s="141" t="s">
        <v>177</v>
      </c>
      <c r="C119" s="125"/>
      <c r="D119" s="140" t="s">
        <v>76</v>
      </c>
      <c r="E119" s="81" t="s">
        <v>87</v>
      </c>
      <c r="F119" s="83">
        <f>SUM(Grass_87[Amount])</f>
        <v>0</v>
      </c>
      <c r="G119" s="84">
        <f>SUM(Tree_87[Amount])</f>
        <v>0</v>
      </c>
      <c r="H119" s="84">
        <f>SUM(Pest_87[Amount])</f>
        <v>0</v>
      </c>
      <c r="I119" s="84">
        <f>SUM(Garbage_87[Amount])</f>
        <v>0</v>
      </c>
      <c r="J119" s="84">
        <f>SUM(Boarding_87[Amount])</f>
        <v>0</v>
      </c>
      <c r="K119" s="84">
        <f>SUM(Fence_87[Amount])</f>
        <v>0</v>
      </c>
      <c r="L119" s="84">
        <f>SUM(Demolition_87[Amount])</f>
        <v>31810</v>
      </c>
      <c r="M119" s="84">
        <f>SUM(Rehab_87[Amount])</f>
        <v>0</v>
      </c>
      <c r="N119" s="123">
        <f>SUM(Summary_Sheet[[#This Row],[Cutting grass/ neglected weeds]:[Rehabilitation]])</f>
        <v>31810</v>
      </c>
    </row>
    <row r="120" spans="1:14" x14ac:dyDescent="0.3">
      <c r="A120" s="95">
        <v>88</v>
      </c>
      <c r="B120" s="115" t="s">
        <v>178</v>
      </c>
      <c r="C120" s="127"/>
      <c r="D120" s="140" t="s">
        <v>76</v>
      </c>
      <c r="E120" s="81" t="s">
        <v>81</v>
      </c>
      <c r="F120" s="121">
        <f>SUM(Grass_88[Amount])</f>
        <v>0</v>
      </c>
      <c r="G120" s="122">
        <f>SUM(Tree_88[Amount])</f>
        <v>0</v>
      </c>
      <c r="H120" s="122">
        <f>SUM(Pest_88[Amount])</f>
        <v>0</v>
      </c>
      <c r="I120" s="122">
        <f>SUM(Garbage_88[Amount])</f>
        <v>0</v>
      </c>
      <c r="J120" s="122">
        <f>SUM(Boarding_88[Amount])</f>
        <v>0</v>
      </c>
      <c r="K120" s="122">
        <f>SUM(Fence_88[Amount])</f>
        <v>0</v>
      </c>
      <c r="L120" s="122">
        <f>SUM(Demolition_88[Amount])</f>
        <v>16810</v>
      </c>
      <c r="M120" s="122">
        <f>SUM(Rehab_88[Amount])</f>
        <v>0</v>
      </c>
      <c r="N120" s="124">
        <f>SUM(Summary_Sheet[[#This Row],[Cutting grass/ neglected weeds]:[Rehabilitation]])</f>
        <v>16810</v>
      </c>
    </row>
    <row r="121" spans="1:14" x14ac:dyDescent="0.3">
      <c r="A121" s="128">
        <v>89</v>
      </c>
      <c r="B121" s="141" t="s">
        <v>179</v>
      </c>
      <c r="C121" s="125"/>
      <c r="D121" s="140" t="s">
        <v>76</v>
      </c>
      <c r="E121" s="81" t="s">
        <v>81</v>
      </c>
      <c r="F121" s="83">
        <f>SUM(Grass_89[Amount])</f>
        <v>0</v>
      </c>
      <c r="G121" s="84">
        <f>SUM(Tree_89[Amount])</f>
        <v>0</v>
      </c>
      <c r="H121" s="84">
        <f>SUM(Pest_89[Amount])</f>
        <v>0</v>
      </c>
      <c r="I121" s="84">
        <f>SUM(Garbage_89[Amount])</f>
        <v>0</v>
      </c>
      <c r="J121" s="84">
        <f>SUM(Boarding_89[Amount])</f>
        <v>0</v>
      </c>
      <c r="K121" s="84">
        <f>SUM(Fence_89[Amount])</f>
        <v>0</v>
      </c>
      <c r="L121" s="84">
        <f>SUM(Demolition_89[Amount])</f>
        <v>23210</v>
      </c>
      <c r="M121" s="84">
        <f>SUM(Rehab_89[Amount])</f>
        <v>0</v>
      </c>
      <c r="N121" s="123">
        <f>SUM(Summary_Sheet[[#This Row],[Cutting grass/ neglected weeds]:[Rehabilitation]])</f>
        <v>23210</v>
      </c>
    </row>
    <row r="122" spans="1:14" x14ac:dyDescent="0.3">
      <c r="A122" s="95">
        <v>90</v>
      </c>
      <c r="B122" s="115" t="s">
        <v>180</v>
      </c>
      <c r="C122" s="127"/>
      <c r="D122" s="140" t="s">
        <v>76</v>
      </c>
      <c r="E122" s="81" t="s">
        <v>81</v>
      </c>
      <c r="F122" s="121">
        <f>SUM(Grass_90[Amount])</f>
        <v>0</v>
      </c>
      <c r="G122" s="122">
        <f>SUM(Tree_90[Amount])</f>
        <v>0</v>
      </c>
      <c r="H122" s="122">
        <f>SUM(Pest_90[Amount])</f>
        <v>0</v>
      </c>
      <c r="I122" s="122">
        <f>SUM(Garbage_90[Amount])</f>
        <v>0</v>
      </c>
      <c r="J122" s="122">
        <f>SUM(Boarding_90[Amount])</f>
        <v>0</v>
      </c>
      <c r="K122" s="122">
        <f>SUM(Fence_90[Amount])</f>
        <v>0</v>
      </c>
      <c r="L122" s="122">
        <f>SUM(Demolition_90[Amount])</f>
        <v>19210</v>
      </c>
      <c r="M122" s="122">
        <f>SUM(Rehab_90[Amount])</f>
        <v>0</v>
      </c>
      <c r="N122" s="124">
        <f>SUM(Summary_Sheet[[#This Row],[Cutting grass/ neglected weeds]:[Rehabilitation]])</f>
        <v>19210</v>
      </c>
    </row>
    <row r="123" spans="1:14" x14ac:dyDescent="0.3">
      <c r="A123" s="128">
        <v>91</v>
      </c>
      <c r="B123" s="141" t="s">
        <v>181</v>
      </c>
      <c r="C123" s="125"/>
      <c r="D123" s="140" t="s">
        <v>76</v>
      </c>
      <c r="E123" s="81" t="s">
        <v>85</v>
      </c>
      <c r="F123" s="83">
        <f>SUM(Grass_91[Amount])</f>
        <v>0</v>
      </c>
      <c r="G123" s="84">
        <f>SUM(Tree_91[Amount])</f>
        <v>0</v>
      </c>
      <c r="H123" s="84">
        <f>SUM(Pest_91[Amount])</f>
        <v>0</v>
      </c>
      <c r="I123" s="84">
        <f>SUM(Garbage_91[Amount])</f>
        <v>0</v>
      </c>
      <c r="J123" s="84">
        <f>SUM(Boarding_91[Amount])</f>
        <v>0</v>
      </c>
      <c r="K123" s="84">
        <f>SUM(Fence_91[Amount])</f>
        <v>0</v>
      </c>
      <c r="L123" s="84">
        <f>SUM(Demolition_91[Amount])</f>
        <v>44510</v>
      </c>
      <c r="M123" s="84">
        <f>SUM(Rehab_91[Amount])</f>
        <v>0</v>
      </c>
      <c r="N123" s="123">
        <f>SUM(Summary_Sheet[[#This Row],[Cutting grass/ neglected weeds]:[Rehabilitation]])</f>
        <v>44510</v>
      </c>
    </row>
    <row r="124" spans="1:14" x14ac:dyDescent="0.3">
      <c r="A124" s="95">
        <v>92</v>
      </c>
      <c r="B124" s="115" t="s">
        <v>182</v>
      </c>
      <c r="C124" s="127"/>
      <c r="D124" s="140" t="s">
        <v>76</v>
      </c>
      <c r="E124" s="81" t="s">
        <v>79</v>
      </c>
      <c r="F124" s="121">
        <f>SUM(Grass_92[Amount])</f>
        <v>0</v>
      </c>
      <c r="G124" s="122">
        <f>SUM(Tree_92[Amount])</f>
        <v>0</v>
      </c>
      <c r="H124" s="122">
        <f>SUM(Pest_92[Amount])</f>
        <v>0</v>
      </c>
      <c r="I124" s="122">
        <f>SUM(Garbage_92[Amount])</f>
        <v>0</v>
      </c>
      <c r="J124" s="122">
        <f>SUM(Boarding_92[Amount])</f>
        <v>0</v>
      </c>
      <c r="K124" s="122">
        <f>SUM(Fence_92[Amount])</f>
        <v>0</v>
      </c>
      <c r="L124" s="122">
        <f>SUM(Demolition_92[Amount])</f>
        <v>19210</v>
      </c>
      <c r="M124" s="122">
        <f>SUM(Rehab_92[Amount])</f>
        <v>0</v>
      </c>
      <c r="N124" s="124">
        <f>SUM(Summary_Sheet[[#This Row],[Cutting grass/ neglected weeds]:[Rehabilitation]])</f>
        <v>19210</v>
      </c>
    </row>
    <row r="125" spans="1:14" x14ac:dyDescent="0.3">
      <c r="A125" s="128">
        <v>93</v>
      </c>
      <c r="B125" s="141" t="s">
        <v>183</v>
      </c>
      <c r="C125" s="125"/>
      <c r="D125" s="140" t="s">
        <v>76</v>
      </c>
      <c r="E125" s="81" t="s">
        <v>81</v>
      </c>
      <c r="F125" s="83">
        <f>SUM(Grass_93[Amount])</f>
        <v>0</v>
      </c>
      <c r="G125" s="84">
        <f>SUM(Tree_93[Amount])</f>
        <v>0</v>
      </c>
      <c r="H125" s="84">
        <f>SUM(Pest_93[Amount])</f>
        <v>0</v>
      </c>
      <c r="I125" s="84">
        <f>SUM(Garbage_93[Amount])</f>
        <v>0</v>
      </c>
      <c r="J125" s="84">
        <f>SUM(Boarding_93[Amount])</f>
        <v>0</v>
      </c>
      <c r="K125" s="84">
        <f>SUM(Fence_93[Amount])</f>
        <v>0</v>
      </c>
      <c r="L125" s="84">
        <f>SUM(Demolition_93[Amount])</f>
        <v>17310</v>
      </c>
      <c r="M125" s="84">
        <f>SUM(Rehab_93[Amount])</f>
        <v>0</v>
      </c>
      <c r="N125" s="123">
        <f>SUM(Summary_Sheet[[#This Row],[Cutting grass/ neglected weeds]:[Rehabilitation]])</f>
        <v>17310</v>
      </c>
    </row>
    <row r="126" spans="1:14" x14ac:dyDescent="0.3">
      <c r="A126" s="95">
        <v>94</v>
      </c>
      <c r="B126" s="115" t="s">
        <v>184</v>
      </c>
      <c r="C126" s="127"/>
      <c r="D126" s="140" t="s">
        <v>76</v>
      </c>
      <c r="E126" s="81" t="s">
        <v>108</v>
      </c>
      <c r="F126" s="121">
        <f>SUM(Grass_94[Amount])</f>
        <v>0</v>
      </c>
      <c r="G126" s="122">
        <f>SUM(Tree_94[Amount])</f>
        <v>0</v>
      </c>
      <c r="H126" s="122">
        <f>SUM(Pest_94[Amount])</f>
        <v>0</v>
      </c>
      <c r="I126" s="122">
        <f>SUM(Garbage_94[Amount])</f>
        <v>0</v>
      </c>
      <c r="J126" s="122">
        <f>SUM(Boarding_94[Amount])</f>
        <v>0</v>
      </c>
      <c r="K126" s="122">
        <f>SUM(Fence_94[Amount])</f>
        <v>0</v>
      </c>
      <c r="L126" s="122">
        <f>SUM(Demolition_94[Amount])</f>
        <v>21710</v>
      </c>
      <c r="M126" s="122">
        <f>SUM(Rehab_94[Amount])</f>
        <v>0</v>
      </c>
      <c r="N126" s="124">
        <f>SUM(Summary_Sheet[[#This Row],[Cutting grass/ neglected weeds]:[Rehabilitation]])</f>
        <v>21710</v>
      </c>
    </row>
    <row r="127" spans="1:14" x14ac:dyDescent="0.3">
      <c r="A127" s="128">
        <v>95</v>
      </c>
      <c r="B127" s="141" t="s">
        <v>185</v>
      </c>
      <c r="C127" s="125"/>
      <c r="D127" s="140" t="s">
        <v>76</v>
      </c>
      <c r="E127" s="79" t="s">
        <v>81</v>
      </c>
      <c r="F127" s="83">
        <f>SUM(Grass_95[Amount])</f>
        <v>0</v>
      </c>
      <c r="G127" s="84">
        <f>SUM(Tree_95[Amount])</f>
        <v>0</v>
      </c>
      <c r="H127" s="84">
        <f>SUM(Pest_95[Amount])</f>
        <v>0</v>
      </c>
      <c r="I127" s="84">
        <f>SUM(Garbage_95[Amount])</f>
        <v>0</v>
      </c>
      <c r="J127" s="84">
        <f>SUM(Boarding_95[Amount])</f>
        <v>0</v>
      </c>
      <c r="K127" s="84">
        <f>SUM(Fence_95[Amount])</f>
        <v>0</v>
      </c>
      <c r="L127" s="84">
        <f>SUM(Demolition_95[Amount])</f>
        <v>17510</v>
      </c>
      <c r="M127" s="84">
        <f>SUM(Rehab_95[Amount])</f>
        <v>0</v>
      </c>
      <c r="N127" s="123">
        <f>SUM(Summary_Sheet[[#This Row],[Cutting grass/ neglected weeds]:[Rehabilitation]])</f>
        <v>17510</v>
      </c>
    </row>
    <row r="128" spans="1:14" x14ac:dyDescent="0.3">
      <c r="A128" s="95">
        <v>96</v>
      </c>
      <c r="B128" s="115" t="s">
        <v>186</v>
      </c>
      <c r="C128" s="127"/>
      <c r="D128" s="140" t="s">
        <v>76</v>
      </c>
      <c r="E128" s="81" t="s">
        <v>81</v>
      </c>
      <c r="F128" s="121">
        <f>SUM(Grass_96[Amount])</f>
        <v>0</v>
      </c>
      <c r="G128" s="122">
        <f>SUM(Tree_96[Amount])</f>
        <v>0</v>
      </c>
      <c r="H128" s="122">
        <f>SUM(Pest_96[Amount])</f>
        <v>0</v>
      </c>
      <c r="I128" s="122">
        <f>SUM(Garbage_96[Amount])</f>
        <v>0</v>
      </c>
      <c r="J128" s="122">
        <f>SUM(Boarding_96[Amount])</f>
        <v>0</v>
      </c>
      <c r="K128" s="122">
        <f>SUM(Fence_96[Amount])</f>
        <v>0</v>
      </c>
      <c r="L128" s="122">
        <f>SUM(Demolition_96[Amount])</f>
        <v>22410</v>
      </c>
      <c r="M128" s="122">
        <f>SUM(Rehab_96[Amount])</f>
        <v>0</v>
      </c>
      <c r="N128" s="124">
        <f>SUM(Summary_Sheet[[#This Row],[Cutting grass/ neglected weeds]:[Rehabilitation]])</f>
        <v>22410</v>
      </c>
    </row>
    <row r="129" spans="1:14" x14ac:dyDescent="0.3">
      <c r="A129" s="128">
        <v>97</v>
      </c>
      <c r="B129" s="141" t="s">
        <v>187</v>
      </c>
      <c r="C129" s="125"/>
      <c r="D129" s="140" t="s">
        <v>76</v>
      </c>
      <c r="E129" s="79" t="s">
        <v>81</v>
      </c>
      <c r="F129" s="83">
        <f>SUM(Grass_97[Amount])</f>
        <v>0</v>
      </c>
      <c r="G129" s="84">
        <f>SUM(Tree_97[Amount])</f>
        <v>0</v>
      </c>
      <c r="H129" s="84">
        <f>SUM(Pest_97[Amount])</f>
        <v>0</v>
      </c>
      <c r="I129" s="84">
        <f>SUM(Garbage_97[Amount])</f>
        <v>0</v>
      </c>
      <c r="J129" s="84">
        <f>SUM(Boarding_97[Amount])</f>
        <v>0</v>
      </c>
      <c r="K129" s="84">
        <f>SUM(Fence_97[Amount])</f>
        <v>0</v>
      </c>
      <c r="L129" s="84">
        <f>SUM(Demolition_97[Amount])</f>
        <v>35010</v>
      </c>
      <c r="M129" s="84">
        <f>SUM(Rehab_97[Amount])</f>
        <v>0</v>
      </c>
      <c r="N129" s="123">
        <f>SUM(Summary_Sheet[[#This Row],[Cutting grass/ neglected weeds]:[Rehabilitation]])</f>
        <v>35010</v>
      </c>
    </row>
    <row r="130" spans="1:14" x14ac:dyDescent="0.3">
      <c r="A130" s="95">
        <v>98</v>
      </c>
      <c r="B130" s="115" t="s">
        <v>188</v>
      </c>
      <c r="C130" s="127"/>
      <c r="D130" s="140" t="s">
        <v>76</v>
      </c>
      <c r="E130" s="81" t="s">
        <v>81</v>
      </c>
      <c r="F130" s="121">
        <f>SUM(Grass_98[Amount])</f>
        <v>0</v>
      </c>
      <c r="G130" s="122">
        <f>SUM(Tree_98[Amount])</f>
        <v>0</v>
      </c>
      <c r="H130" s="122">
        <f>SUM(Pest_98[Amount])</f>
        <v>0</v>
      </c>
      <c r="I130" s="122">
        <f>SUM(Garbage_98[Amount])</f>
        <v>0</v>
      </c>
      <c r="J130" s="122">
        <f>SUM(Boarding_98[Amount])</f>
        <v>0</v>
      </c>
      <c r="K130" s="122">
        <f>SUM(Fence_98[Amount])</f>
        <v>0</v>
      </c>
      <c r="L130" s="122">
        <f>SUM(Demolition_98[Amount])</f>
        <v>17510</v>
      </c>
      <c r="M130" s="122">
        <f>SUM(Rehab_98[Amount])</f>
        <v>0</v>
      </c>
      <c r="N130" s="124">
        <f>SUM(Summary_Sheet[[#This Row],[Cutting grass/ neglected weeds]:[Rehabilitation]])</f>
        <v>17510</v>
      </c>
    </row>
    <row r="131" spans="1:14" x14ac:dyDescent="0.3">
      <c r="A131" s="128">
        <v>99</v>
      </c>
      <c r="B131" s="141" t="s">
        <v>189</v>
      </c>
      <c r="C131" s="125"/>
      <c r="D131" s="140" t="s">
        <v>76</v>
      </c>
      <c r="E131" s="79" t="s">
        <v>81</v>
      </c>
      <c r="F131" s="83">
        <f>SUM(Grass_99[Amount])</f>
        <v>0</v>
      </c>
      <c r="G131" s="84">
        <f>SUM(Tree_99[Amount])</f>
        <v>0</v>
      </c>
      <c r="H131" s="84">
        <f>SUM(Pest_99[Amount])</f>
        <v>0</v>
      </c>
      <c r="I131" s="84">
        <f>SUM(Garbage_99[Amount])</f>
        <v>0</v>
      </c>
      <c r="J131" s="84">
        <f>SUM(Boarding_99[Amount])</f>
        <v>0</v>
      </c>
      <c r="K131" s="84">
        <f>SUM(Fence_99[Amount])</f>
        <v>0</v>
      </c>
      <c r="L131" s="84">
        <f>SUM(Demolition_99[Amount])</f>
        <v>17310</v>
      </c>
      <c r="M131" s="84">
        <f>SUM(Rehab_99[Amount])</f>
        <v>0</v>
      </c>
      <c r="N131" s="123">
        <f>SUM(Summary_Sheet[[#This Row],[Cutting grass/ neglected weeds]:[Rehabilitation]])</f>
        <v>17310</v>
      </c>
    </row>
    <row r="132" spans="1:14" x14ac:dyDescent="0.3">
      <c r="A132" s="95">
        <v>100</v>
      </c>
      <c r="B132" s="115" t="s">
        <v>190</v>
      </c>
      <c r="C132" s="127"/>
      <c r="D132" s="140" t="s">
        <v>76</v>
      </c>
      <c r="E132" s="81" t="s">
        <v>81</v>
      </c>
      <c r="F132" s="121">
        <f>SUM(Grass_100[Amount])</f>
        <v>0</v>
      </c>
      <c r="G132" s="122">
        <f>SUM(Tree_100[Amount])</f>
        <v>0</v>
      </c>
      <c r="H132" s="122">
        <f>SUM(Pest_100[Amount])</f>
        <v>0</v>
      </c>
      <c r="I132" s="122">
        <f>SUM(Garbage_100[Amount])</f>
        <v>0</v>
      </c>
      <c r="J132" s="122">
        <f>SUM(Boarding_100[Amount])</f>
        <v>0</v>
      </c>
      <c r="K132" s="122">
        <f>SUM(Fence_100[Amount])</f>
        <v>0</v>
      </c>
      <c r="L132" s="122">
        <f>SUM(Demolition_100[Amount])</f>
        <v>19210</v>
      </c>
      <c r="M132" s="122">
        <f>SUM(Rehab_100[Amount])</f>
        <v>0</v>
      </c>
      <c r="N132" s="124">
        <f>SUM(Summary_Sheet[[#This Row],[Cutting grass/ neglected weeds]:[Rehabilitation]])</f>
        <v>19210</v>
      </c>
    </row>
  </sheetData>
  <sheetProtection algorithmName="SHA-512" hashValue="0SfIYs2DshcyDfJPtEgHT8aYEU05qtMv9JnZghJmg9LtQK9j+y4PQWGCqSr/iYNm0vvN2UN5YCdLnOfLPifGsw==" saltValue="9imhsrJ//d96UsbN92axTQ==" spinCount="100000" sheet="1" objects="1" scenarios="1"/>
  <protectedRanges>
    <protectedRange sqref="B33:E132" name="Property"/>
    <protectedRange sqref="C27 E27 I27:I28" name="Quarterly"/>
    <protectedRange sqref="C20 C22 J20 J22" name="Certification"/>
    <protectedRange sqref="D11:D12 J11:J12" name="Grantee"/>
  </protectedRanges>
  <mergeCells count="20">
    <mergeCell ref="D31:E31"/>
    <mergeCell ref="E27:F27"/>
    <mergeCell ref="F31:M31"/>
    <mergeCell ref="A31:C31"/>
    <mergeCell ref="A25:N25"/>
    <mergeCell ref="A30:N30"/>
    <mergeCell ref="C20:G20"/>
    <mergeCell ref="C22:G22"/>
    <mergeCell ref="A2:M2"/>
    <mergeCell ref="A9:N9"/>
    <mergeCell ref="A5:N7"/>
    <mergeCell ref="J20:K20"/>
    <mergeCell ref="J22:K22"/>
    <mergeCell ref="D11:E11"/>
    <mergeCell ref="J11:K11"/>
    <mergeCell ref="J12:K12"/>
    <mergeCell ref="A16:N18"/>
    <mergeCell ref="A14:N14"/>
    <mergeCell ref="A3:M3"/>
    <mergeCell ref="D12:E12"/>
  </mergeCells>
  <pageMargins left="0.5" right="0.5" top="0.5" bottom="0.5" header="0" footer="0"/>
  <pageSetup paperSize="17" scale="8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8</xdr:col>
                    <xdr:colOff>716280</xdr:colOff>
                    <xdr:row>25</xdr:row>
                    <xdr:rowOff>114300</xdr:rowOff>
                  </from>
                  <to>
                    <xdr:col>9</xdr:col>
                    <xdr:colOff>106680</xdr:colOff>
                    <xdr:row>27</xdr:row>
                    <xdr:rowOff>30480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8</xdr:col>
                    <xdr:colOff>716280</xdr:colOff>
                    <xdr:row>26</xdr:row>
                    <xdr:rowOff>190500</xdr:rowOff>
                  </from>
                  <to>
                    <xdr:col>9</xdr:col>
                    <xdr:colOff>106680</xdr:colOff>
                    <xdr:row>28</xdr:row>
                    <xdr:rowOff>30480</xdr:rowOff>
                  </to>
                </anchor>
              </controlPr>
            </control>
          </mc:Choice>
        </mc:AlternateContent>
      </controls>
    </mc:Choice>
  </mc:AlternateContent>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Sheet'!B41="","",'Summary Sheet'!B41)</f>
        <v>4218 W ADAMS ST</v>
      </c>
      <c r="C4" s="173"/>
      <c r="D4" s="90"/>
      <c r="E4" s="4"/>
      <c r="F4" s="90"/>
      <c r="G4" s="90"/>
      <c r="H4" s="5"/>
    </row>
    <row r="5" spans="1:14" ht="15" customHeight="1" x14ac:dyDescent="0.25">
      <c r="A5" s="75" t="s">
        <v>20</v>
      </c>
      <c r="B5" s="174" t="str">
        <f>IF('Summary Sheet'!C41="","",'Summary Sheet'!C41)</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SUM(Demolition_9[Amount])</f>
        <v>24510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SUM(Rehab_9[Amount])</f>
        <v>0</v>
      </c>
      <c r="E160" s="34"/>
      <c r="F160" s="170" t="s">
        <v>33</v>
      </c>
      <c r="G160" s="171"/>
      <c r="H160" s="171"/>
    </row>
    <row r="161" spans="6:8" x14ac:dyDescent="0.3">
      <c r="F161" s="170"/>
      <c r="G161" s="171"/>
      <c r="H161" s="171"/>
    </row>
  </sheetData>
  <sheetProtection algorithmName="SHA-512" hashValue="G/PE8beCzHvSlgxohaCnv7ie46yA0ulPsgDt2RrzuAzK0VQDHV2og9f2wrkBMGbF1hMz5tQ0/OwBYW0lr9ldjg==" saltValue="hMdELrZqiNt8VSM0MuxDs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Sheet'!B131="","",'Summary Sheet'!B131)</f>
        <v>6109 S PAULINA AVE</v>
      </c>
      <c r="C4" s="173"/>
      <c r="D4" s="130"/>
      <c r="E4" s="4"/>
      <c r="F4" s="130"/>
      <c r="G4" s="130"/>
      <c r="H4" s="5"/>
    </row>
    <row r="5" spans="1:14" ht="15" customHeight="1" x14ac:dyDescent="0.25">
      <c r="A5" s="75" t="s">
        <v>20</v>
      </c>
      <c r="B5" s="174" t="str">
        <f>IF('Summary Sheet'!C131="","",'Summary Sheet'!C131)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SUM(Demolition_99[Amount])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SUM(Rehab_99[Amount])</f>
        <v>0</v>
      </c>
      <c r="E160" s="34"/>
      <c r="F160" s="170" t="s">
        <v>33</v>
      </c>
      <c r="G160" s="171"/>
      <c r="H160" s="171"/>
    </row>
    <row r="161" spans="6:8" x14ac:dyDescent="0.3">
      <c r="F161" s="170"/>
      <c r="G161" s="171"/>
      <c r="H161" s="171"/>
    </row>
  </sheetData>
  <sheetProtection algorithmName="SHA-512" hashValue="UOcQgiRoFUjsgskQbLYYEMPvFan0xkrnosKwnVI233G/u05kO3JKjUXstO7YCdiiaS4dtLhnVO/dy4hmQTiagg==" saltValue="SOdLkUFaiD9PP81/rvr9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Sheet'!B132="","",'Summary Sheet'!B132)</f>
        <v>6110 S MARSHFIELD AVE</v>
      </c>
      <c r="C4" s="173"/>
      <c r="D4" s="130"/>
      <c r="E4" s="4"/>
      <c r="F4" s="130"/>
      <c r="G4" s="130"/>
      <c r="H4" s="5"/>
    </row>
    <row r="5" spans="1:14" ht="15" customHeight="1" x14ac:dyDescent="0.25">
      <c r="A5" s="75" t="s">
        <v>20</v>
      </c>
      <c r="B5" s="174" t="str">
        <f>IF('Summary Sheet'!C132="","",'Summary Sheet'!C132)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SUM(Grass_100[Amount])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SUM(Tree_100[Amount])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SUM(Pest_100[Amount])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SUM(Garbage_100[Amount])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SUM(Boarding_100[Amount])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SUM(Fence_100[Amount])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SUM(Demolition_100[Amount])</f>
        <v>19210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SUM(Rehab_100[Amount])</f>
        <v>0</v>
      </c>
      <c r="E160" s="34"/>
      <c r="F160" s="170" t="s">
        <v>33</v>
      </c>
      <c r="G160" s="171"/>
      <c r="H160" s="171"/>
    </row>
    <row r="161" spans="6:8" x14ac:dyDescent="0.3">
      <c r="F161" s="170"/>
      <c r="G161" s="171"/>
      <c r="H161" s="171"/>
    </row>
  </sheetData>
  <sheetProtection algorithmName="SHA-512" hashValue="o7F1xvop1ZOlnxn8jrOM33NpvGd//FsWu9Ib+nGaU+jQ/Ul04G6VZAfoXQsW4n9v7sxzr0wfErTM6LwvC6OHdg==" saltValue="w9L4h5vsDSs0cHWwGQiFM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Sheet'!B42="","",'Summary Sheet'!B42)</f>
        <v xml:space="preserve">421 W 103RD ST </v>
      </c>
      <c r="C4" s="173"/>
      <c r="D4" s="90"/>
      <c r="E4" s="4"/>
      <c r="F4" s="90"/>
      <c r="G4" s="90"/>
      <c r="H4" s="5"/>
    </row>
    <row r="5" spans="1:14" ht="15" customHeight="1" x14ac:dyDescent="0.25">
      <c r="A5" s="75" t="s">
        <v>20</v>
      </c>
      <c r="B5" s="174" t="str">
        <f>IF('Summary Sheet'!C42="","",'Summary Sheet'!C42)</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SUM(Tree_10[Amount])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SUM(Demolition_10[Amount])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SUM(Rehab_10[Amount])</f>
        <v>0</v>
      </c>
      <c r="E160" s="34"/>
      <c r="F160" s="170" t="s">
        <v>33</v>
      </c>
      <c r="G160" s="171"/>
      <c r="H160" s="171"/>
    </row>
    <row r="161" spans="6:8" x14ac:dyDescent="0.3">
      <c r="F161" s="170"/>
      <c r="G161" s="171"/>
      <c r="H161" s="171"/>
    </row>
  </sheetData>
  <sheetProtection algorithmName="SHA-512" hashValue="M+McNSUBxN+Ukz/kq0DuxutDByn+o+FHCmaIZc3+dprjF/8ILabM2LxDuUoZR0G4SAfN5IbaD8dqJOGttVrMFA==" saltValue="TTFRECLe/ujm/2rDyKCJ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161"/>
  <sheetViews>
    <sheetView showGridLines="0" zoomScaleNormal="100" workbookViewId="0">
      <pane ySplit="9" topLeftCell="A112" activePane="bottomLeft" state="frozen"/>
      <selection activeCell="D5" sqref="D5"/>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Sheet'!B43="","",'Summary Sheet'!B43)</f>
        <v>4221 W 25TH PL</v>
      </c>
      <c r="C4" s="173"/>
      <c r="D4" s="97"/>
      <c r="E4" s="4"/>
      <c r="F4" s="97"/>
      <c r="G4" s="97"/>
      <c r="H4" s="5"/>
    </row>
    <row r="5" spans="1:14" ht="15" customHeight="1" x14ac:dyDescent="0.25">
      <c r="A5" s="75" t="s">
        <v>20</v>
      </c>
      <c r="B5" s="174" t="str">
        <f>IF('Summary Sheet'!C43="","",'Summary Sheet'!C43)</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SUM(Demolition_11[Amount])</f>
        <v>19210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SUM(Rehab_11[Amount])</f>
        <v>0</v>
      </c>
      <c r="E160" s="34"/>
      <c r="F160" s="170" t="s">
        <v>33</v>
      </c>
      <c r="G160" s="171"/>
      <c r="H160" s="171"/>
    </row>
    <row r="161" spans="6:8" x14ac:dyDescent="0.3">
      <c r="F161" s="170"/>
      <c r="G161" s="171"/>
      <c r="H161" s="171"/>
    </row>
  </sheetData>
  <sheetProtection algorithmName="SHA-512" hashValue="8/BI0AdPouUlL02ZSERv0exivSNbcQB24y8qkKQizpfwfuwIqzx1TRcxNOBAL347aZq9uLzhbrojJhaBo6eG/A==" saltValue="c5hVmnvtUPbW2r2dV57l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Sheet'!B44="","",'Summary Sheet'!B44)</f>
        <v>423 W 65TH ST</v>
      </c>
      <c r="C4" s="173"/>
      <c r="D4" s="97"/>
      <c r="E4" s="4"/>
      <c r="F4" s="97"/>
      <c r="G4" s="97"/>
      <c r="H4" s="5"/>
    </row>
    <row r="5" spans="1:14" ht="15" customHeight="1" x14ac:dyDescent="0.25">
      <c r="A5" s="75" t="s">
        <v>20</v>
      </c>
      <c r="B5" s="174" t="str">
        <f>IF('Summary Sheet'!C44="","",'Summary Sheet'!C44)</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SUM(Demolition_12[Amount])</f>
        <v>19410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SUM(Rehab_12[Amount])</f>
        <v>0</v>
      </c>
      <c r="E160" s="34"/>
      <c r="F160" s="170" t="s">
        <v>33</v>
      </c>
      <c r="G160" s="171"/>
      <c r="H160" s="171"/>
    </row>
    <row r="161" spans="6:8" x14ac:dyDescent="0.3">
      <c r="F161" s="170"/>
      <c r="G161" s="171"/>
      <c r="H161" s="171"/>
    </row>
  </sheetData>
  <sheetProtection algorithmName="SHA-512" hashValue="x+Zlm202GXPquNFelLutn2/wdd/T+H4gBH5/X9pYh1ChXL5CxKnCazii1+ASC1DlUsQiMeSpIX2zRRtEZwPUBQ==" saltValue="zdYaXpzXvFd+AbFuogSU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Sheet'!B45="","",'Summary Sheet'!B45)</f>
        <v>42 W 113TH PL</v>
      </c>
      <c r="C4" s="173"/>
      <c r="D4" s="97"/>
      <c r="E4" s="4"/>
      <c r="F4" s="97"/>
      <c r="G4" s="97"/>
      <c r="H4" s="5"/>
    </row>
    <row r="5" spans="1:14" ht="15" customHeight="1" x14ac:dyDescent="0.25">
      <c r="A5" s="75" t="s">
        <v>20</v>
      </c>
      <c r="B5" s="174" t="str">
        <f>IF('Summary Sheet'!C45="","",'Summary Sheet'!C45)</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SUM(Demolition_13[Amount])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SUM(Rehab_13[Amount])</f>
        <v>0</v>
      </c>
      <c r="E160" s="34"/>
      <c r="F160" s="170" t="s">
        <v>33</v>
      </c>
      <c r="G160" s="171"/>
      <c r="H160" s="171"/>
    </row>
    <row r="161" spans="6:8" x14ac:dyDescent="0.3">
      <c r="F161" s="170"/>
      <c r="G161" s="171"/>
      <c r="H161" s="171"/>
    </row>
  </sheetData>
  <sheetProtection algorithmName="SHA-512" hashValue="9Sxy1KDFovRGBCD3j5AsOZiyNX+z+zNsPCPkih5TBkxVDtWdDeQlmJAinslPnrDJtPQDw6Owg9HQkRC+I4xByQ==" saltValue="dJxHp7bQVrLpiUPK0BbWT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N161"/>
  <sheetViews>
    <sheetView showGridLines="0" zoomScaleNormal="100" workbookViewId="0">
      <pane ySplit="9" topLeftCell="A110"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Sheet'!B46="","",'Summary Sheet'!B46)</f>
        <v>4308 W MAYPOLE AVE</v>
      </c>
      <c r="C4" s="173"/>
      <c r="D4" s="97"/>
      <c r="E4" s="4"/>
      <c r="F4" s="97"/>
      <c r="G4" s="97"/>
      <c r="H4" s="5"/>
    </row>
    <row r="5" spans="1:14" ht="15" customHeight="1" x14ac:dyDescent="0.25">
      <c r="A5" s="75" t="s">
        <v>20</v>
      </c>
      <c r="B5" s="174" t="str">
        <f>IF('Summary Sheet'!C46="","",'Summary Sheet'!C46)</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SUM(Demolition_14[Amount])</f>
        <v>17210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SUM(Rehab_14[Amount])</f>
        <v>0</v>
      </c>
      <c r="E160" s="34"/>
      <c r="F160" s="170" t="s">
        <v>33</v>
      </c>
      <c r="G160" s="171"/>
      <c r="H160" s="171"/>
    </row>
    <row r="161" spans="6:8" x14ac:dyDescent="0.3">
      <c r="F161" s="170"/>
      <c r="G161" s="171"/>
      <c r="H161" s="171"/>
    </row>
  </sheetData>
  <sheetProtection algorithmName="SHA-512" hashValue="Le4XpfZ7oLzpP/hC4fGzHJLGbmsJfeax+p1SZOP/s/FW42KOSrZcd0WCJ45RuttHSvTi91eqz143LMalWvY98w==" saltValue="fdoWxMWMtcBLmF0/gxfA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161"/>
  <sheetViews>
    <sheetView showGridLines="0" zoomScaleNormal="100" workbookViewId="0">
      <pane ySplit="9" topLeftCell="A110"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Sheet'!B47="","",'Summary Sheet'!B47)</f>
        <v>430 W 97TH ST</v>
      </c>
      <c r="C4" s="173"/>
      <c r="D4" s="97"/>
      <c r="E4" s="4"/>
      <c r="F4" s="97"/>
      <c r="G4" s="97"/>
      <c r="H4" s="5"/>
    </row>
    <row r="5" spans="1:14" ht="15" customHeight="1" x14ac:dyDescent="0.25">
      <c r="A5" s="75" t="s">
        <v>20</v>
      </c>
      <c r="B5" s="174" t="str">
        <f>IF('Summary Sheet'!C47="","",'Summary Sheet'!C47)</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SUM(Demolition_15[Amount])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SUM(Rehab_15[Amount])</f>
        <v>0</v>
      </c>
      <c r="E160" s="34"/>
      <c r="F160" s="170" t="s">
        <v>33</v>
      </c>
      <c r="G160" s="171"/>
      <c r="H160" s="171"/>
    </row>
    <row r="161" spans="6:8" x14ac:dyDescent="0.3">
      <c r="F161" s="170"/>
      <c r="G161" s="171"/>
      <c r="H161" s="171"/>
    </row>
  </sheetData>
  <sheetProtection algorithmName="SHA-512" hashValue="CfEfLM8G+99Lpidgjojr7IosKdM7ScdDUWwPbcdBArXdNzMkwo8J7Jemym+WXg6qDXpyM/GZMo24GpdwfOs6dw==" saltValue="A8wgx/SlcJHlydGZ0Oqi0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161"/>
  <sheetViews>
    <sheetView showGridLines="0" zoomScaleNormal="100" workbookViewId="0">
      <pane ySplit="9" topLeftCell="A110"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Sheet'!B48="","",'Summary Sheet'!B48)</f>
        <v>4320 W WASHINGTON BLVD</v>
      </c>
      <c r="C4" s="173"/>
      <c r="D4" s="97"/>
      <c r="E4" s="4"/>
      <c r="F4" s="97"/>
      <c r="G4" s="97"/>
      <c r="H4" s="5"/>
    </row>
    <row r="5" spans="1:14" ht="15" customHeight="1" x14ac:dyDescent="0.25">
      <c r="A5" s="75" t="s">
        <v>20</v>
      </c>
      <c r="B5" s="174" t="str">
        <f>IF('Summary Sheet'!C48="","",'Summary Sheet'!C48)</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SUM(Demolition_16[Amount])</f>
        <v>23210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SUM(Rehab_16[Amount])</f>
        <v>0</v>
      </c>
      <c r="E160" s="34"/>
      <c r="F160" s="170" t="s">
        <v>33</v>
      </c>
      <c r="G160" s="171"/>
      <c r="H160" s="171"/>
    </row>
    <row r="161" spans="6:8" x14ac:dyDescent="0.3">
      <c r="F161" s="170"/>
      <c r="G161" s="171"/>
      <c r="H161" s="171"/>
    </row>
  </sheetData>
  <sheetProtection algorithmName="SHA-512" hashValue="lH1FfLW+c8VIiweUqJ0mZicX7LADffa/NTidc1jUE+npgGDk1uzitvw2pFfTES85Oquhnce11BSe/1HlSxWI8w==" saltValue="dkMwZcDsswj0btRCBsf/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Sheet'!B49="","",'Summary Sheet'!B49)</f>
        <v>4418 W CONGRESS PKWY</v>
      </c>
      <c r="C4" s="173"/>
      <c r="D4" s="97"/>
      <c r="E4" s="4"/>
      <c r="F4" s="97"/>
      <c r="G4" s="97"/>
      <c r="H4" s="5"/>
    </row>
    <row r="5" spans="1:14" ht="15" customHeight="1" x14ac:dyDescent="0.25">
      <c r="A5" s="75" t="s">
        <v>20</v>
      </c>
      <c r="B5" s="174" t="str">
        <f>IF('Summary Sheet'!C49="","",'Summary Sheet'!C49)</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26410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26410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SUM(Demolition_17[Amount])</f>
        <v>26410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SUM(Rehab_17[Amount])</f>
        <v>0</v>
      </c>
      <c r="E160" s="34"/>
      <c r="F160" s="170" t="s">
        <v>33</v>
      </c>
      <c r="G160" s="171"/>
      <c r="H160" s="171"/>
    </row>
    <row r="161" spans="6:8" x14ac:dyDescent="0.3">
      <c r="F161" s="170"/>
      <c r="G161" s="171"/>
      <c r="H161" s="171"/>
    </row>
  </sheetData>
  <sheetProtection algorithmName="SHA-512" hashValue="gqWekhs5utlyVf9PRismLdW6HLMD6HvI7AIVx3cr+vM4dvAaKJIlkNIE3PDssZW8N4HCyTtqwzL5IvRpcTbo2g==" saltValue="YqK2V9wsSwq/JA2TWfhg2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Sheet'!B50="","",'Summary Sheet'!B50)</f>
        <v>4428 W LELAND AVE</v>
      </c>
      <c r="C4" s="173"/>
      <c r="D4" s="97"/>
      <c r="E4" s="4"/>
      <c r="F4" s="97"/>
      <c r="G4" s="97"/>
      <c r="H4" s="5"/>
    </row>
    <row r="5" spans="1:14" ht="15" customHeight="1" x14ac:dyDescent="0.25">
      <c r="A5" s="75" t="s">
        <v>20</v>
      </c>
      <c r="B5" s="174" t="str">
        <f>IF('Summary Sheet'!C50="","",'Summary Sheet'!C50)</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23700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23700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SUM(Demolition_18[Amount])</f>
        <v>23700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SUM(Rehab_18[Amount])</f>
        <v>0</v>
      </c>
      <c r="E160" s="34"/>
      <c r="F160" s="170" t="s">
        <v>33</v>
      </c>
      <c r="G160" s="171"/>
      <c r="H160" s="171"/>
    </row>
    <row r="161" spans="6:8" x14ac:dyDescent="0.3">
      <c r="F161" s="170"/>
      <c r="G161" s="171"/>
      <c r="H161" s="171"/>
    </row>
  </sheetData>
  <sheetProtection algorithmName="SHA-512" hashValue="+FOJMnQ4v0pcO2crpGH4F9WrEGwkj5ZH5/TbVYN4BF5CgTryM4/6k+3Yg7dbURs/6ehL5GLOmdejjG2kABYyPQ==" saltValue="V9ZlPoHg195ArPBqfPzVu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61"/>
  <sheetViews>
    <sheetView showGridLines="0" zoomScaleNormal="100" workbookViewId="0">
      <pane ySplit="9" topLeftCell="A124"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Sheet'!B33="","",'Summary Sheet'!B33)</f>
        <v>4039 W MONROE ST</v>
      </c>
      <c r="C4" s="173"/>
      <c r="D4" s="90"/>
      <c r="E4" s="4"/>
      <c r="F4" s="90"/>
      <c r="G4" s="90"/>
      <c r="H4" s="5"/>
    </row>
    <row r="5" spans="1:14" ht="15" customHeight="1" x14ac:dyDescent="0.25">
      <c r="A5" s="75" t="s">
        <v>20</v>
      </c>
      <c r="B5" s="174" t="str">
        <f>IF('Summary Sheet'!C33="","",'Summary Sheet'!C33)</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49500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49500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SUM(Demolition_1[Amount])</f>
        <v>49500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SUM(Rehab_1[Amount])</f>
        <v>0</v>
      </c>
      <c r="E160" s="34"/>
      <c r="F160" s="170" t="s">
        <v>33</v>
      </c>
      <c r="G160" s="171"/>
      <c r="H160" s="171"/>
    </row>
    <row r="161" spans="6:8" x14ac:dyDescent="0.3">
      <c r="F161" s="170"/>
      <c r="G161" s="171"/>
      <c r="H161" s="171"/>
    </row>
  </sheetData>
  <sheetProtection algorithmName="SHA-512" hashValue="L5ONw+N1vYbg1Sz6YceQ769aN/Kh05h19pbLBO8AVYL7AISI9Up/A5RQHDFMgqXBB9GhY5rLwxVOlQnac7Kb5w==" saltValue="+1iAYZRigOzVRKFJ1ke9+w=="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F46:F47"/>
    <mergeCell ref="G46:H47"/>
    <mergeCell ref="A1:D1"/>
    <mergeCell ref="A2:D3"/>
    <mergeCell ref="B6:C6"/>
    <mergeCell ref="A46:C46"/>
    <mergeCell ref="F8:H8"/>
    <mergeCell ref="F29:H30"/>
    <mergeCell ref="F10:H11"/>
    <mergeCell ref="F27:F28"/>
    <mergeCell ref="G27:H28"/>
    <mergeCell ref="I60:L60"/>
    <mergeCell ref="F65:F66"/>
    <mergeCell ref="G65:H66"/>
    <mergeCell ref="J59:K59"/>
    <mergeCell ref="F48:H49"/>
    <mergeCell ref="A48:D48"/>
    <mergeCell ref="A65:C65"/>
    <mergeCell ref="B4:C4"/>
    <mergeCell ref="B5:C5"/>
    <mergeCell ref="B7:C7"/>
    <mergeCell ref="A9:C9"/>
    <mergeCell ref="A10:D10"/>
    <mergeCell ref="A27:C27"/>
    <mergeCell ref="A29:D29"/>
    <mergeCell ref="A67:D67"/>
    <mergeCell ref="F67:H68"/>
    <mergeCell ref="A84:C84"/>
    <mergeCell ref="F84:F85"/>
    <mergeCell ref="G84:H85"/>
    <mergeCell ref="A86:D86"/>
    <mergeCell ref="F86:H87"/>
    <mergeCell ref="A103:C103"/>
    <mergeCell ref="F103:F104"/>
    <mergeCell ref="G103:H104"/>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60:C160"/>
    <mergeCell ref="F160:F161"/>
    <mergeCell ref="G160:H161"/>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Sheet'!B51="","",'Summary Sheet'!B51)</f>
        <v>4431 W CONGRESS PWKY</v>
      </c>
      <c r="C4" s="173"/>
      <c r="D4" s="97"/>
      <c r="E4" s="4"/>
      <c r="F4" s="97"/>
      <c r="G4" s="97"/>
      <c r="H4" s="5"/>
    </row>
    <row r="5" spans="1:14" ht="15" customHeight="1" x14ac:dyDescent="0.25">
      <c r="A5" s="75" t="s">
        <v>20</v>
      </c>
      <c r="B5" s="174" t="str">
        <f>IF('Summary Sheet'!C51="","",'Summary Sheet'!C51)</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SUM(Demolition_19[Amount])</f>
        <v>22010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SUM(Rehab_19[Amount])</f>
        <v>0</v>
      </c>
      <c r="E160" s="34"/>
      <c r="F160" s="170" t="s">
        <v>33</v>
      </c>
      <c r="G160" s="171"/>
      <c r="H160" s="171"/>
    </row>
    <row r="161" spans="6:8" x14ac:dyDescent="0.3">
      <c r="F161" s="170"/>
      <c r="G161" s="171"/>
      <c r="H161" s="171"/>
    </row>
  </sheetData>
  <sheetProtection algorithmName="SHA-512" hashValue="4lg74yDagJ6J4993L2cjPbNoadh6j/VXIrq+FUcB95wwOa3X55XuC9J+8dHbpDEQtr12wN/rDHvU/LYNhQk4QA==" saltValue="WN7TNOTggSTyYtj25oQdm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Sheet'!B52="","",'Summary Sheet'!B52)</f>
        <v>4450 W CONGRESS PKWY</v>
      </c>
      <c r="C4" s="173"/>
      <c r="D4" s="97"/>
      <c r="E4" s="4"/>
      <c r="F4" s="97"/>
      <c r="G4" s="97"/>
      <c r="H4" s="5"/>
    </row>
    <row r="5" spans="1:14" ht="15" customHeight="1" x14ac:dyDescent="0.25">
      <c r="A5" s="75" t="s">
        <v>20</v>
      </c>
      <c r="B5" s="174" t="str">
        <f>IF('Summary Sheet'!C52="","",'Summary Sheet'!C52)</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67010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67010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SUM(Demolition_20[Amount])</f>
        <v>67010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SUM(Rehab_20[Amount])</f>
        <v>0</v>
      </c>
      <c r="E160" s="34"/>
      <c r="F160" s="170" t="s">
        <v>33</v>
      </c>
      <c r="G160" s="171"/>
      <c r="H160" s="171"/>
    </row>
    <row r="161" spans="6:8" x14ac:dyDescent="0.3">
      <c r="F161" s="170"/>
      <c r="G161" s="171"/>
      <c r="H161" s="171"/>
    </row>
  </sheetData>
  <sheetProtection algorithmName="SHA-512" hashValue="idDpJMc+iJC8L8B8bA9mHZ5WT3H1QVRrwfJAYD7IRCRdW+SGDkqcz59MbswrsKoi+AZeGAuWiR6n8u9jnDsG4Q==" saltValue="kmAJ7xm2MDNcrqKYU30G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Sheet'!B53="","",'Summary Sheet'!B53)</f>
        <v>448 W 103RD PL</v>
      </c>
      <c r="C4" s="173"/>
      <c r="D4" s="97"/>
      <c r="E4" s="4"/>
      <c r="F4" s="97"/>
      <c r="G4" s="97"/>
      <c r="H4" s="5"/>
    </row>
    <row r="5" spans="1:14" ht="15" customHeight="1" x14ac:dyDescent="0.25">
      <c r="A5" s="75" t="s">
        <v>20</v>
      </c>
      <c r="B5" s="174" t="str">
        <f>IF('Summary Sheet'!C53="","",'Summary Sheet'!C53)</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22710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SUM(Demolition_21[Amount])</f>
        <v>22710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SUM(Rehab_21[Amount])</f>
        <v>0</v>
      </c>
      <c r="E160" s="34"/>
      <c r="F160" s="170" t="s">
        <v>33</v>
      </c>
      <c r="G160" s="171"/>
      <c r="H160" s="171"/>
    </row>
    <row r="161" spans="6:8" x14ac:dyDescent="0.3">
      <c r="F161" s="170"/>
      <c r="G161" s="171"/>
      <c r="H161" s="171"/>
    </row>
  </sheetData>
  <sheetProtection algorithmName="SHA-512" hashValue="oDRrIbLi/cv36p/gKGZzr/d3CYMFu8Ygp9dKIg5+q+lJMVjGuoW86iHZ4awUaqDqdUoc9SpT3VK01AOWK1x8NQ==" saltValue="AMM2NAge6vdnaBF1Fk8vY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Sheet'!B54="","",'Summary Sheet'!B54)</f>
        <v>4510 W HARRISON ST</v>
      </c>
      <c r="C4" s="173"/>
      <c r="D4" s="97"/>
      <c r="E4" s="4"/>
      <c r="F4" s="97"/>
      <c r="G4" s="97"/>
      <c r="H4" s="5"/>
    </row>
    <row r="5" spans="1:14" ht="15" customHeight="1" x14ac:dyDescent="0.25">
      <c r="A5" s="75" t="s">
        <v>20</v>
      </c>
      <c r="B5" s="174" t="str">
        <f>IF('Summary Sheet'!C54="","",'Summary Sheet'!C54)</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SUM(Demolition_22[Amount])</f>
        <v>24010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SUM(Rehab_22[Amount])</f>
        <v>0</v>
      </c>
      <c r="E160" s="34"/>
      <c r="F160" s="170" t="s">
        <v>33</v>
      </c>
      <c r="G160" s="171"/>
      <c r="H160" s="171"/>
    </row>
    <row r="161" spans="6:8" x14ac:dyDescent="0.3">
      <c r="F161" s="170"/>
      <c r="G161" s="171"/>
      <c r="H161" s="171"/>
    </row>
  </sheetData>
  <sheetProtection algorithmName="SHA-512" hashValue="9yKrQTqT0qBxz/da47MSraKDEw8LqIRRwA3ku94QyHOl6YpKqcFH4B7yMvtvR7NOfVLyI3y6s526PtIyyfogXg==" saltValue="aNuyOEqgHTreDp7YI+HKt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161"/>
  <sheetViews>
    <sheetView showGridLines="0" zoomScaleNormal="100" workbookViewId="0">
      <pane ySplit="9" topLeftCell="A121"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Sheet'!B55="","",'Summary Sheet'!B55)</f>
        <v>4552 N ST LOUIS AVE</v>
      </c>
      <c r="C4" s="173"/>
      <c r="D4" s="97"/>
      <c r="E4" s="4"/>
      <c r="F4" s="97"/>
      <c r="G4" s="97"/>
      <c r="H4" s="5"/>
    </row>
    <row r="5" spans="1:14" ht="15" customHeight="1" x14ac:dyDescent="0.25">
      <c r="A5" s="75" t="s">
        <v>20</v>
      </c>
      <c r="B5" s="174" t="str">
        <f>IF('Summary Sheet'!C55="","",'Summary Sheet'!C55)</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24610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24610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SUM(Demolition_23[Amount])</f>
        <v>24610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SUM(Rehab_23[Amount])</f>
        <v>0</v>
      </c>
      <c r="E160" s="34"/>
      <c r="F160" s="170" t="s">
        <v>33</v>
      </c>
      <c r="G160" s="171"/>
      <c r="H160" s="171"/>
    </row>
    <row r="161" spans="6:8" x14ac:dyDescent="0.3">
      <c r="F161" s="170"/>
      <c r="G161" s="171"/>
      <c r="H161" s="171"/>
    </row>
  </sheetData>
  <sheetProtection algorithmName="SHA-512" hashValue="P4MXwBJO25hs5hQ3NsIYqj/J7jvv/9/gK17DTt6m61ASFt0hjgDa//lbT/SW6wbEGmUXoGyCkTtqhoPOKk6axA==" saltValue="wGOvgat7t2ECtdT0II+ET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N161"/>
  <sheetViews>
    <sheetView showGridLines="0" zoomScaleNormal="100" workbookViewId="0">
      <pane ySplit="9" topLeftCell="A124"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Sheet'!B56="","",'Summary Sheet'!B56)</f>
        <v>4607 S HONORE ST</v>
      </c>
      <c r="C4" s="173"/>
      <c r="D4" s="97"/>
      <c r="E4" s="4"/>
      <c r="F4" s="97"/>
      <c r="G4" s="97"/>
      <c r="H4" s="5"/>
    </row>
    <row r="5" spans="1:14" ht="15" customHeight="1" x14ac:dyDescent="0.25">
      <c r="A5" s="75" t="s">
        <v>20</v>
      </c>
      <c r="B5" s="174" t="str">
        <f>IF('Summary Sheet'!C56="","",'Summary Sheet'!C56)</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SUM(Demolition_24[Amount])</f>
        <v>23510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SUM(Rehab_24[Amount])</f>
        <v>0</v>
      </c>
      <c r="E160" s="34"/>
      <c r="F160" s="170" t="s">
        <v>33</v>
      </c>
      <c r="G160" s="171"/>
      <c r="H160" s="171"/>
    </row>
    <row r="161" spans="6:8" x14ac:dyDescent="0.3">
      <c r="F161" s="170"/>
      <c r="G161" s="171"/>
      <c r="H161" s="171"/>
    </row>
  </sheetData>
  <sheetProtection algorithmName="SHA-512" hashValue="POwQXd9i69satLzjR2/nweqrmi0VPfu57OAXzn7pyhCoOaHphUi3MDBOxe90pQQMHwdsaY3OhtGzwjxOQ0cL7A==" saltValue="ZUvlhdVvQ1Od0Uw82H/K+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Sheet'!B57="","",'Summary Sheet'!B57)</f>
        <v>4609 S HONORE ST</v>
      </c>
      <c r="C4" s="173"/>
      <c r="D4" s="97"/>
      <c r="E4" s="4"/>
      <c r="F4" s="97"/>
      <c r="G4" s="97"/>
      <c r="H4" s="5"/>
    </row>
    <row r="5" spans="1:14" ht="15" customHeight="1" x14ac:dyDescent="0.25">
      <c r="A5" s="75" t="s">
        <v>20</v>
      </c>
      <c r="B5" s="174" t="str">
        <f>IF('Summary Sheet'!C57="","",'Summary Sheet'!C57)</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29"/>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SUM(Demolition_25[Amount])</f>
        <v>21510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SUM(Rehab_25[Amount])</f>
        <v>0</v>
      </c>
      <c r="E160" s="34"/>
      <c r="F160" s="170" t="s">
        <v>33</v>
      </c>
      <c r="G160" s="171"/>
      <c r="H160" s="171"/>
    </row>
    <row r="161" spans="6:8" x14ac:dyDescent="0.3">
      <c r="F161" s="170"/>
      <c r="G161" s="171"/>
      <c r="H161" s="171"/>
    </row>
  </sheetData>
  <sheetProtection algorithmName="SHA-512" hashValue="XlHDbMSI527oO7VhYqiAzP0ozkpqvEmiayp38U4tyG8mHa4jJVPeYIcuSZouOjwwZaRQYXN5F28Sr/2ztJqbPQ==" saltValue="gbP/FGKdtAMzCd58Y9CLyw==" spinCount="100000" sheet="1" insertRows="0" deleteRows="0"/>
  <protectedRanges>
    <protectedRange sqref="A12:A26 C12:D26 B12:B16 B18:B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Sheet'!B58="","",'Summary Sheet'!B58)</f>
        <v>4709 W CHICAGO AVE</v>
      </c>
      <c r="C4" s="173"/>
      <c r="D4" s="97"/>
      <c r="E4" s="4"/>
      <c r="F4" s="97"/>
      <c r="G4" s="97"/>
      <c r="H4" s="5"/>
    </row>
    <row r="5" spans="1:14" ht="15" customHeight="1" x14ac:dyDescent="0.25">
      <c r="A5" s="75" t="s">
        <v>20</v>
      </c>
      <c r="B5" s="174" t="str">
        <f>IF('Summary Sheet'!C58="","",'Summary Sheet'!C58)</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16010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16010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SUM(Demolition_26[Amount])</f>
        <v>16010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SUM(Rehab_26[Amount])</f>
        <v>0</v>
      </c>
      <c r="E160" s="34"/>
      <c r="F160" s="170" t="s">
        <v>33</v>
      </c>
      <c r="G160" s="171"/>
      <c r="H160" s="171"/>
    </row>
    <row r="161" spans="6:8" x14ac:dyDescent="0.3">
      <c r="F161" s="170"/>
      <c r="G161" s="171"/>
      <c r="H161" s="171"/>
    </row>
  </sheetData>
  <sheetProtection algorithmName="SHA-512" hashValue="DaGEos/I9YYQY9+Rt8r3fbFx1Fj/mWlKtI7zSr7ZuzSeYc6mIMIp5NGeA2dXSQ8cKKb0a0e8NaXJpWLtJl/1OQ==" saltValue="Tq6bmrHSlJnVjp6j5NKh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Sheet'!B59="","",'Summary Sheet'!B59)</f>
        <v>4718 W VAN BUREN ST</v>
      </c>
      <c r="C4" s="173"/>
      <c r="D4" s="97"/>
      <c r="E4" s="4"/>
      <c r="F4" s="97"/>
      <c r="G4" s="97"/>
      <c r="H4" s="5"/>
    </row>
    <row r="5" spans="1:14" ht="15" customHeight="1" x14ac:dyDescent="0.25">
      <c r="A5" s="75" t="s">
        <v>20</v>
      </c>
      <c r="B5" s="174" t="str">
        <f>IF('Summary Sheet'!C59="","",'Summary Sheet'!C59)</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22200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22200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SUM(Demolition_27[Amount])</f>
        <v>22200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SUM(Rehab_27[Amount])</f>
        <v>0</v>
      </c>
      <c r="E160" s="34"/>
      <c r="F160" s="170" t="s">
        <v>33</v>
      </c>
      <c r="G160" s="171"/>
      <c r="H160" s="171"/>
    </row>
    <row r="161" spans="6:8" x14ac:dyDescent="0.3">
      <c r="F161" s="170"/>
      <c r="G161" s="171"/>
      <c r="H161" s="171"/>
    </row>
  </sheetData>
  <sheetProtection algorithmName="SHA-512" hashValue="L2YTkG+YNUSf+CHcmDT2Gsue8bG0n36kbjEik/Ljkybu8dhX+weg2V790X6p3gbt6C4Bvq2nY8KFsXV24vixCw==" saltValue="T6ovle7fLn66e+efRSId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Sheet'!B60="","",'Summary Sheet'!B60)</f>
        <v>4725 W MAYPOLE AVE</v>
      </c>
      <c r="C4" s="173"/>
      <c r="D4" s="97"/>
      <c r="E4" s="4"/>
      <c r="F4" s="97"/>
      <c r="G4" s="97"/>
      <c r="H4" s="5"/>
    </row>
    <row r="5" spans="1:14" ht="15" customHeight="1" x14ac:dyDescent="0.25">
      <c r="A5" s="75" t="s">
        <v>20</v>
      </c>
      <c r="B5" s="174" t="str">
        <f>IF('Summary Sheet'!C60="","",'Summary Sheet'!C60)</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89320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89320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SUM(Demolition_28[Amount])</f>
        <v>89320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SUM(Rehab_28[Amount])</f>
        <v>0</v>
      </c>
      <c r="E160" s="34"/>
      <c r="F160" s="170" t="s">
        <v>33</v>
      </c>
      <c r="G160" s="171"/>
      <c r="H160" s="171"/>
    </row>
    <row r="161" spans="6:8" x14ac:dyDescent="0.3">
      <c r="F161" s="170"/>
      <c r="G161" s="171"/>
      <c r="H161" s="171"/>
    </row>
  </sheetData>
  <sheetProtection algorithmName="SHA-512" hashValue="dI78EWk7Z4ASn+D6OlCGykzac+VvLhKxell3gqCdvsU9/4Ra7NpF46JzMvvXRt5uEti2dF9L2EOtX5a48iuT2Q==" saltValue="FKx2NoWe4PxOsQJzmO3tx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Sheet'!B34="","",'Summary Sheet'!B34)</f>
        <v>4063 S MAPLEWOOD AVE</v>
      </c>
      <c r="C4" s="173"/>
      <c r="D4" s="90"/>
      <c r="E4" s="4"/>
      <c r="F4" s="90"/>
      <c r="G4" s="90"/>
      <c r="H4" s="5"/>
    </row>
    <row r="5" spans="1:14" ht="15" customHeight="1" x14ac:dyDescent="0.25">
      <c r="A5" s="75" t="s">
        <v>20</v>
      </c>
      <c r="B5" s="174" t="str">
        <f>IF('Summary Sheet'!C34="","",'Summary Sheet'!C34)</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14210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14210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SUM(Demolition_2[Amount])</f>
        <v>14210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SUM(Rehab_2[Amount])</f>
        <v>0</v>
      </c>
      <c r="E160" s="34"/>
      <c r="F160" s="170" t="s">
        <v>33</v>
      </c>
      <c r="G160" s="171"/>
      <c r="H160" s="171"/>
    </row>
    <row r="161" spans="6:8" x14ac:dyDescent="0.3">
      <c r="F161" s="170"/>
      <c r="G161" s="171"/>
      <c r="H161" s="171"/>
    </row>
  </sheetData>
  <sheetProtection algorithmName="SHA-512" hashValue="pYJJ6iS07MQdkUs1nxEr1vVojJpsULAYDTw1PF4e7UC5ehDuEefKIMIFF7I9MkiQG0Q370+JN9q5XcZ10rgOMQ==" saltValue="okVXIEekCDZ6zSAGdZCVo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Sheet'!B61="","",'Summary Sheet'!B61)</f>
        <v>4742 W OHIO ST</v>
      </c>
      <c r="C4" s="173"/>
      <c r="D4" s="97"/>
      <c r="E4" s="4"/>
      <c r="F4" s="97"/>
      <c r="G4" s="97"/>
      <c r="H4" s="5"/>
    </row>
    <row r="5" spans="1:14" ht="15" customHeight="1" x14ac:dyDescent="0.25">
      <c r="A5" s="75" t="s">
        <v>20</v>
      </c>
      <c r="B5" s="174" t="str">
        <f>IF('Summary Sheet'!C61="","",'Summary Sheet'!C61)</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SUM(Demolition_29[Amount])</f>
        <v>22410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SUM(Rehab_29[Amount])</f>
        <v>0</v>
      </c>
      <c r="E160" s="34"/>
      <c r="F160" s="170" t="s">
        <v>33</v>
      </c>
      <c r="G160" s="171"/>
      <c r="H160" s="171"/>
    </row>
    <row r="161" spans="6:8" x14ac:dyDescent="0.3">
      <c r="F161" s="170"/>
      <c r="G161" s="171"/>
      <c r="H161" s="171"/>
    </row>
  </sheetData>
  <sheetProtection algorithmName="SHA-512" hashValue="6vEVmR2uLHptHf0GYVHoUYGW2bBMT4n07n3KMP7xQau0BIxZixGFQT9r1n0UyvJ5HBw/Lf83ohe8vOAvQHDflw==" saltValue="4+YzhKnm8CPrQVrt4ZN07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Sheet'!B62="","",'Summary Sheet'!B62)</f>
        <v>4744 W VAN BUREN ST</v>
      </c>
      <c r="C4" s="173"/>
      <c r="D4" s="97"/>
      <c r="E4" s="4"/>
      <c r="F4" s="97"/>
      <c r="G4" s="97"/>
      <c r="H4" s="5"/>
    </row>
    <row r="5" spans="1:14" ht="15" customHeight="1" x14ac:dyDescent="0.25">
      <c r="A5" s="75" t="s">
        <v>20</v>
      </c>
      <c r="B5" s="174" t="str">
        <f>IF('Summary Sheet'!C62="","",'Summary Sheet'!C62)</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SUM(Tree_30[Amount])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SUM(Demolition_30[Amount])</f>
        <v>19210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SUM(Rehab_30[Amount])</f>
        <v>0</v>
      </c>
      <c r="E160" s="34"/>
      <c r="F160" s="170" t="s">
        <v>33</v>
      </c>
      <c r="G160" s="171"/>
      <c r="H160" s="171"/>
    </row>
    <row r="161" spans="6:8" x14ac:dyDescent="0.3">
      <c r="F161" s="170"/>
      <c r="G161" s="171"/>
      <c r="H161" s="171"/>
    </row>
  </sheetData>
  <sheetProtection algorithmName="SHA-512" hashValue="0VlTnuyBbzuCuqV37enIXNmiWU6AoM6S93KiH5fEZvc+vw62qEgqkCwplafCv40AkzRRprhm03dGhO+fFRhf2w==" saltValue="M76I/+JYuU6l/rPi1pNZ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Sheet'!B63="","",'Summary Sheet'!B63)</f>
        <v>4813 S WOOD ST</v>
      </c>
      <c r="C4" s="173"/>
      <c r="D4" s="120"/>
      <c r="E4" s="4"/>
      <c r="F4" s="120"/>
      <c r="G4" s="120"/>
      <c r="H4" s="5"/>
    </row>
    <row r="5" spans="1:14" ht="15" customHeight="1" x14ac:dyDescent="0.25">
      <c r="A5" s="75" t="s">
        <v>20</v>
      </c>
      <c r="B5" s="174" t="str">
        <f>IF('Summary Sheet'!C63="","",'Summary Sheet'!C63)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41810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41810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SUM(Demolition_31[Amount])</f>
        <v>41810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SUM(Rehab_31[Amount])</f>
        <v>0</v>
      </c>
      <c r="E160" s="34"/>
      <c r="F160" s="170" t="s">
        <v>33</v>
      </c>
      <c r="G160" s="171"/>
      <c r="H160" s="171"/>
    </row>
    <row r="161" spans="6:8" x14ac:dyDescent="0.3">
      <c r="F161" s="170"/>
      <c r="G161" s="171"/>
      <c r="H161" s="171"/>
    </row>
  </sheetData>
  <sheetProtection algorithmName="SHA-512" hashValue="QRZAG9WmPB+DeG5WCLvrBVUhTe+lQ2bpgzTntsbjAl7sOUcqkvLV9UUKbGOlHmATmE30Lxa2MD0h62PE2K4WOA==" saltValue="PKmn18x3Mr4BZkC5WskM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Sheet'!B64="","",'Summary Sheet'!B64)</f>
        <v>48 W 113TH PL</v>
      </c>
      <c r="C4" s="173"/>
      <c r="D4" s="120"/>
      <c r="E4" s="4"/>
      <c r="F4" s="120"/>
      <c r="G4" s="120"/>
      <c r="H4" s="5"/>
    </row>
    <row r="5" spans="1:14" ht="15" customHeight="1" x14ac:dyDescent="0.25">
      <c r="A5" s="75" t="s">
        <v>20</v>
      </c>
      <c r="B5" s="174" t="str">
        <f>IF('Summary Sheet'!C64="","",'Summary Sheet'!C64)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SUM(Demolition_32[Amount])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SUM(Rehab_32[Amount])</f>
        <v>0</v>
      </c>
      <c r="E160" s="34"/>
      <c r="F160" s="170" t="s">
        <v>33</v>
      </c>
      <c r="G160" s="171"/>
      <c r="H160" s="171"/>
    </row>
    <row r="161" spans="6:8" x14ac:dyDescent="0.3">
      <c r="F161" s="170"/>
      <c r="G161" s="171"/>
      <c r="H161" s="171"/>
    </row>
  </sheetData>
  <sheetProtection algorithmName="SHA-512" hashValue="8h/7fDaLw3UYxMVVw3GG0lbolzzIttcFqWIjxX7FwGWlm+dvJvxcQ5M7l1OoPOcFLMVySRzm7c24qem4ZLAjZw==" saltValue="ULm3fYkayelAAngODrx8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161"/>
  <sheetViews>
    <sheetView showGridLines="0" zoomScaleNormal="100" workbookViewId="0">
      <pane ySplit="9" topLeftCell="A130" activePane="bottomLeft" state="frozen"/>
      <selection activeCell="F10" sqref="F10:H11"/>
      <selection pane="bottomLeft" activeCell="D146" sqref="D14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Sheet'!B65="","",'Summary Sheet'!B65)</f>
        <v>4926 W ADAMS ST</v>
      </c>
      <c r="C4" s="173"/>
      <c r="D4" s="120"/>
      <c r="E4" s="4"/>
      <c r="F4" s="120"/>
      <c r="G4" s="120"/>
      <c r="H4" s="5"/>
    </row>
    <row r="5" spans="1:14" ht="15" customHeight="1" x14ac:dyDescent="0.25">
      <c r="A5" s="75" t="s">
        <v>20</v>
      </c>
      <c r="B5" s="174" t="str">
        <f>IF('Summary Sheet'!C65="","",'Summary Sheet'!C65)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34610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v>34610</v>
      </c>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SUM(Rehab_33[Amount])</f>
        <v>34610</v>
      </c>
      <c r="E160" s="34"/>
      <c r="F160" s="170" t="s">
        <v>33</v>
      </c>
      <c r="G160" s="171"/>
      <c r="H160" s="171"/>
    </row>
    <row r="161" spans="6:8" x14ac:dyDescent="0.3">
      <c r="F161" s="170"/>
      <c r="G161" s="171"/>
      <c r="H161" s="171"/>
    </row>
  </sheetData>
  <sheetProtection algorithmName="SHA-512" hashValue="+LetR7Sr5Wyc9zsoexLVLYiy6D5rYtBuuGWsdavD8af3btU4AEaWIwBXjDksTPrrFJ8pdiPEp1MrJU6R2oh9Kw==" saltValue="xC1CzJmPbB5Egj3b0leH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Sheet'!B66="","",'Summary Sheet'!B66)</f>
        <v>4958 S PRINCETON AVE</v>
      </c>
      <c r="C4" s="173"/>
      <c r="D4" s="120"/>
      <c r="E4" s="4"/>
      <c r="F4" s="120"/>
      <c r="G4" s="120"/>
      <c r="H4" s="5"/>
    </row>
    <row r="5" spans="1:14" ht="15" customHeight="1" x14ac:dyDescent="0.25">
      <c r="A5" s="75" t="s">
        <v>20</v>
      </c>
      <c r="B5" s="174" t="str">
        <f>IF('Summary Sheet'!C66="","",'Summary Sheet'!C66)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58510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58510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SUM(Demolition_34[Amount])</f>
        <v>58510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SUM(Rehab_34[Amount])</f>
        <v>0</v>
      </c>
      <c r="E160" s="34"/>
      <c r="F160" s="170" t="s">
        <v>33</v>
      </c>
      <c r="G160" s="171"/>
      <c r="H160" s="171"/>
    </row>
    <row r="161" spans="6:8" x14ac:dyDescent="0.3">
      <c r="F161" s="170"/>
      <c r="G161" s="171"/>
      <c r="H161" s="171"/>
    </row>
  </sheetData>
  <sheetProtection algorithmName="SHA-512" hashValue="ePHoQ8Z2o/+2uXbjL2YWSGZYiRu4YgkNPFR0Ighkpeau7Pu8riVYV/jLvWlkxTsKtr6BWaCJ5K/iqwxuDL8uJw==" saltValue="FQn9HP55xzluWVwtuJ+J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Sheet'!B67="","",'Summary Sheet'!B67)</f>
        <v>5018 S KILDARE AVE</v>
      </c>
      <c r="C4" s="173"/>
      <c r="D4" s="120"/>
      <c r="E4" s="4"/>
      <c r="F4" s="120"/>
      <c r="G4" s="120"/>
      <c r="H4" s="5"/>
    </row>
    <row r="5" spans="1:14" ht="15" customHeight="1" x14ac:dyDescent="0.25">
      <c r="A5" s="75" t="s">
        <v>20</v>
      </c>
      <c r="B5" s="174" t="str">
        <f>IF('Summary Sheet'!C67="","",'Summary Sheet'!C67)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SUM(Demolition_35[Amount])</f>
        <v>19810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SUM(Rehab_35[Amount])</f>
        <v>0</v>
      </c>
      <c r="E160" s="34"/>
      <c r="F160" s="170" t="s">
        <v>33</v>
      </c>
      <c r="G160" s="171"/>
      <c r="H160" s="171"/>
    </row>
    <row r="161" spans="6:8" x14ac:dyDescent="0.3">
      <c r="F161" s="170"/>
      <c r="G161" s="171"/>
      <c r="H161" s="171"/>
    </row>
  </sheetData>
  <sheetProtection algorithmName="SHA-512" hashValue="yYkcSI8zRR+uj0ddHO9I9bUbnwqFMpSRAyRk9E5YrxdMKxRdNfJxoMxNcdofUv8tq/n6Sn51X19O9EEWxO4vhw==" saltValue="bGlwhQC5V/QPyGifaxIJf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Sheet'!B68="","",'Summary Sheet'!B68)</f>
        <v>5019 S ELIZABETH ST</v>
      </c>
      <c r="C4" s="173"/>
      <c r="D4" s="120"/>
      <c r="E4" s="4"/>
      <c r="F4" s="120"/>
      <c r="G4" s="120"/>
      <c r="H4" s="5"/>
    </row>
    <row r="5" spans="1:14" ht="15" customHeight="1" x14ac:dyDescent="0.25">
      <c r="A5" s="75" t="s">
        <v>20</v>
      </c>
      <c r="B5" s="174" t="str">
        <f>IF('Summary Sheet'!C68="","",'Summary Sheet'!C68)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SUM(Demolition_36[Amount])</f>
        <v>17010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SUM(Rehab_36[Amount])</f>
        <v>0</v>
      </c>
      <c r="E160" s="34"/>
      <c r="F160" s="170" t="s">
        <v>33</v>
      </c>
      <c r="G160" s="171"/>
      <c r="H160" s="171"/>
    </row>
    <row r="161" spans="6:8" x14ac:dyDescent="0.3">
      <c r="F161" s="170"/>
      <c r="G161" s="171"/>
      <c r="H161" s="171"/>
    </row>
  </sheetData>
  <sheetProtection algorithmName="SHA-512" hashValue="R9VLm9tX0v0t1vVql4pOLzPpDEfllPUtAXSqMJC/eMqEdmAe41ajRW+FIw5TNH7rHscAoe7RWOzcN1AdVG/qKQ==" saltValue="9UfyW9ZzZWuKuwihN5OT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Sheet'!B69="","",'Summary Sheet'!B69)</f>
        <v>5021 S JUSTINE ST</v>
      </c>
      <c r="C4" s="173"/>
      <c r="D4" s="120"/>
      <c r="E4" s="4"/>
      <c r="F4" s="120"/>
      <c r="G4" s="120"/>
      <c r="H4" s="5"/>
    </row>
    <row r="5" spans="1:14" ht="15" customHeight="1" x14ac:dyDescent="0.25">
      <c r="A5" s="75" t="s">
        <v>20</v>
      </c>
      <c r="B5" s="174" t="str">
        <f>IF('Summary Sheet'!C69="","",'Summary Sheet'!C69)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SUM(Demolition_37[Amount])</f>
        <v>17010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SUM(Rehab_37[Amount])</f>
        <v>0</v>
      </c>
      <c r="E160" s="34"/>
      <c r="F160" s="170" t="s">
        <v>33</v>
      </c>
      <c r="G160" s="171"/>
      <c r="H160" s="171"/>
    </row>
    <row r="161" spans="6:8" x14ac:dyDescent="0.3">
      <c r="F161" s="170"/>
      <c r="G161" s="171"/>
      <c r="H161" s="171"/>
    </row>
  </sheetData>
  <sheetProtection algorithmName="SHA-512" hashValue="FSSXrKzhqezvu5sPP3pcpVythZFt9NOLMQ7esiSfBMwldvu4c/LdoWaSFOA317G3xCvFFr0tXZDdJPTMqS8sjA==" saltValue="tZP87U17c1LfPmSM7KuZ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Sheet'!B70="","",'Summary Sheet'!B70)</f>
        <v>5028 S FAIRFIELD AVE</v>
      </c>
      <c r="C4" s="173"/>
      <c r="D4" s="120"/>
      <c r="E4" s="4"/>
      <c r="F4" s="120"/>
      <c r="G4" s="120"/>
      <c r="H4" s="5"/>
    </row>
    <row r="5" spans="1:14" ht="15" customHeight="1" x14ac:dyDescent="0.25">
      <c r="A5" s="75" t="s">
        <v>20</v>
      </c>
      <c r="B5" s="174" t="str">
        <f>IF('Summary Sheet'!C70="","",'Summary Sheet'!C70)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SUM(Demolition_38[Amount])</f>
        <v>21810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SUM(Rehab_38[Amount])</f>
        <v>0</v>
      </c>
      <c r="E160" s="34"/>
      <c r="F160" s="170" t="s">
        <v>33</v>
      </c>
      <c r="G160" s="171"/>
      <c r="H160" s="171"/>
    </row>
    <row r="161" spans="6:8" x14ac:dyDescent="0.3">
      <c r="F161" s="170"/>
      <c r="G161" s="171"/>
      <c r="H161" s="171"/>
    </row>
  </sheetData>
  <sheetProtection algorithmName="SHA-512" hashValue="P6ljmdYwMMUx4GxWGKIxZ95I4JZ474XlAWyetL6Ek7okI7v6FHXGP0pEkTAzk6OVp1PNV707kHp1KqoGePjo/Q==" saltValue="amhgUWP4bPe2YX8MmfODe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Sheet'!B35="","",'Summary Sheet'!B35)</f>
        <v>4107 W ROOSEVELT RD</v>
      </c>
      <c r="C4" s="173"/>
      <c r="D4" s="90"/>
      <c r="E4" s="4"/>
      <c r="F4" s="90"/>
      <c r="G4" s="90"/>
      <c r="H4" s="5"/>
    </row>
    <row r="5" spans="1:14" ht="15" customHeight="1" x14ac:dyDescent="0.25">
      <c r="A5" s="75" t="s">
        <v>20</v>
      </c>
      <c r="B5" s="174" t="str">
        <f>IF('Summary Sheet'!C35="","",'Summary Sheet'!C35)</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32210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32210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SUM(Demolition_3[Amount])</f>
        <v>32210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SUM(Rehab_3[Amount])</f>
        <v>0</v>
      </c>
      <c r="E160" s="34"/>
      <c r="F160" s="170" t="s">
        <v>33</v>
      </c>
      <c r="G160" s="171"/>
      <c r="H160" s="171"/>
    </row>
    <row r="161" spans="6:8" x14ac:dyDescent="0.3">
      <c r="F161" s="170"/>
      <c r="G161" s="171"/>
      <c r="H161" s="171"/>
    </row>
  </sheetData>
  <sheetProtection algorithmName="SHA-512" hashValue="4UDxgzPw1PtVQn4XY3K8FujDV0x+JOojv8SJXO87ItKJY42dgtfvlbTfEfBob/JhwyKutYPVI6BDaJkIjiNDtQ==" saltValue="8sBPtuq9njv2q/bPB5W8V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Sheet'!B71="","",'Summary Sheet'!B71)</f>
        <v>5035 S ELIZABETH ST</v>
      </c>
      <c r="C4" s="173"/>
      <c r="D4" s="120"/>
      <c r="E4" s="4"/>
      <c r="F4" s="120"/>
      <c r="G4" s="120"/>
      <c r="H4" s="5"/>
    </row>
    <row r="5" spans="1:14" ht="15" customHeight="1" x14ac:dyDescent="0.25">
      <c r="A5" s="75" t="s">
        <v>20</v>
      </c>
      <c r="B5" s="174" t="str">
        <f>IF('Summary Sheet'!C71="","",'Summary Sheet'!C71)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SUM(Demolition_39[Amount])</f>
        <v>18410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SUM(Rehab_39[Amount])</f>
        <v>0</v>
      </c>
      <c r="E160" s="34"/>
      <c r="F160" s="170" t="s">
        <v>33</v>
      </c>
      <c r="G160" s="171"/>
      <c r="H160" s="171"/>
    </row>
    <row r="161" spans="6:8" x14ac:dyDescent="0.3">
      <c r="F161" s="170"/>
      <c r="G161" s="171"/>
      <c r="H161" s="171"/>
    </row>
  </sheetData>
  <sheetProtection algorithmName="SHA-512" hashValue="ByFx7259tE52YVLo5NrEmRALV4kvmEindMYNFE306FpmOkfhb6K7bLd3jTFqjjDE8thh5XrsLuV5Qgl7Hrvs8g==" saltValue="dEDhY4mZcbViDhvQKK8W8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Sheet'!B72="","",'Summary Sheet'!B72)</f>
        <v>5048 W CHICAGO AVE</v>
      </c>
      <c r="C4" s="173"/>
      <c r="D4" s="120"/>
      <c r="E4" s="4"/>
      <c r="F4" s="120"/>
      <c r="G4" s="120"/>
      <c r="H4" s="5"/>
    </row>
    <row r="5" spans="1:14" ht="15" customHeight="1" x14ac:dyDescent="0.25">
      <c r="A5" s="75" t="s">
        <v>20</v>
      </c>
      <c r="B5" s="174" t="str">
        <f>IF('Summary Sheet'!C72="","",'Summary Sheet'!C72)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SUM(Demolition_40[Amount])</f>
        <v>30510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SUM(Rehab_40[Amount])</f>
        <v>0</v>
      </c>
      <c r="E160" s="34"/>
      <c r="F160" s="170" t="s">
        <v>33</v>
      </c>
      <c r="G160" s="171"/>
      <c r="H160" s="171"/>
    </row>
    <row r="161" spans="6:8" x14ac:dyDescent="0.3">
      <c r="F161" s="170"/>
      <c r="G161" s="171"/>
      <c r="H161" s="171"/>
    </row>
  </sheetData>
  <sheetProtection algorithmName="SHA-512" hashValue="ILF8hGYmu65a2Ujf7gioVhWvBtv2qYNdbgNzxSDpCD2oPV8BS5abpwTS0a7KkTOWNjgG64/gPNEE/qF3kBnrDQ==" saltValue="saW7RJHn5h6qlFItFWrW5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Sheet'!B73="","",'Summary Sheet'!B73)</f>
        <v>5122 S HONORE ST</v>
      </c>
      <c r="C4" s="173"/>
      <c r="D4" s="120"/>
      <c r="E4" s="4"/>
      <c r="F4" s="120"/>
      <c r="G4" s="120"/>
      <c r="H4" s="5"/>
    </row>
    <row r="5" spans="1:14" ht="15" customHeight="1" x14ac:dyDescent="0.25">
      <c r="A5" s="75" t="s">
        <v>20</v>
      </c>
      <c r="B5" s="174" t="str">
        <f>IF('Summary Sheet'!C73="","",'Summary Sheet'!C73)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SUM(Demolition_41[Amount])</f>
        <v>18210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SUM(Rehab_41[Amount])</f>
        <v>0</v>
      </c>
      <c r="E160" s="34"/>
      <c r="F160" s="170" t="s">
        <v>33</v>
      </c>
      <c r="G160" s="171"/>
      <c r="H160" s="171"/>
    </row>
    <row r="161" spans="6:8" x14ac:dyDescent="0.3">
      <c r="F161" s="170"/>
      <c r="G161" s="171"/>
      <c r="H161" s="171"/>
    </row>
  </sheetData>
  <sheetProtection algorithmName="SHA-512" hashValue="AMkCp9hDyj/PyMZdH0Pwo41Flu6MhpRjNgfaXOZOed+nrMc7G/XqAKtxoEPO3t9B8Oy+VLZFyL/95Z/zAjvc3Q==" saltValue="rm/4x7dB0jVVGlYMrJ+O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Sheet'!B74="","",'Summary Sheet'!B74)</f>
        <v>5125 S PAULINA ST</v>
      </c>
      <c r="C4" s="173"/>
      <c r="D4" s="120"/>
      <c r="E4" s="4"/>
      <c r="F4" s="120"/>
      <c r="G4" s="120"/>
      <c r="H4" s="5"/>
    </row>
    <row r="5" spans="1:14" ht="15" customHeight="1" x14ac:dyDescent="0.25">
      <c r="A5" s="75" t="s">
        <v>20</v>
      </c>
      <c r="B5" s="174" t="str">
        <f>IF('Summary Sheet'!C74="","",'Summary Sheet'!C74)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SUM(Demolition_42[Amount])</f>
        <v>19510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SUM(Rehab_42[Amount])</f>
        <v>0</v>
      </c>
      <c r="E160" s="34"/>
      <c r="F160" s="170" t="s">
        <v>33</v>
      </c>
      <c r="G160" s="171"/>
      <c r="H160" s="171"/>
    </row>
    <row r="161" spans="6:8" x14ac:dyDescent="0.3">
      <c r="F161" s="170"/>
      <c r="G161" s="171"/>
      <c r="H161" s="171"/>
    </row>
  </sheetData>
  <sheetProtection algorithmName="SHA-512" hashValue="XRKcEgH7H/Xkl1zYPBBdZJA8Rx0Y9xYwgjELlgZeFWFVb0D5fnVwG7SQ7Zi1N9nHP88pZIPlOIh2ekrlcOHttw==" saltValue="5Omf12uruiWLNc8qt6Wl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Sheet'!B75="","",'Summary Sheet'!B75)</f>
        <v>5136 S PAULINA ST</v>
      </c>
      <c r="C4" s="173"/>
      <c r="D4" s="120"/>
      <c r="E4" s="4"/>
      <c r="F4" s="120"/>
      <c r="G4" s="120"/>
      <c r="H4" s="5"/>
    </row>
    <row r="5" spans="1:14" ht="15" customHeight="1" x14ac:dyDescent="0.25">
      <c r="A5" s="75" t="s">
        <v>20</v>
      </c>
      <c r="B5" s="174" t="str">
        <f>IF('Summary Sheet'!C75="","",'Summary Sheet'!C75)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15110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15110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SUM(Demolition_43[Amount])</f>
        <v>15110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SUM(Rehab_43[Amount])</f>
        <v>0</v>
      </c>
      <c r="E160" s="34"/>
      <c r="F160" s="170" t="s">
        <v>33</v>
      </c>
      <c r="G160" s="171"/>
      <c r="H160" s="171"/>
    </row>
    <row r="161" spans="6:8" x14ac:dyDescent="0.3">
      <c r="F161" s="170"/>
      <c r="G161" s="171"/>
      <c r="H161" s="171"/>
    </row>
  </sheetData>
  <sheetProtection algorithmName="SHA-512" hashValue="e/VFcAY+s+IQdnd+jQg5gLB6C55TFkMf4c58gXF0nL+P8m8JN5zX/N74AnYS9D14wImZTii3oHNPkB+EX8ZpRw==" saltValue="asvzOh6gFytwSfFUNjs1I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Sheet'!B76="","",'Summary Sheet'!B76)</f>
        <v>513 N LAWNDALE AVE</v>
      </c>
      <c r="C4" s="173"/>
      <c r="D4" s="120"/>
      <c r="E4" s="4"/>
      <c r="F4" s="120"/>
      <c r="G4" s="120"/>
      <c r="H4" s="5"/>
    </row>
    <row r="5" spans="1:14" ht="15" customHeight="1" x14ac:dyDescent="0.25">
      <c r="A5" s="75" t="s">
        <v>20</v>
      </c>
      <c r="B5" s="174" t="str">
        <f>IF('Summary Sheet'!C76="","",'Summary Sheet'!C76)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15510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SUM(Demolition_44[Amount])</f>
        <v>15510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SUM(Rehab_44[Amount])</f>
        <v>0</v>
      </c>
      <c r="E160" s="34"/>
      <c r="F160" s="170" t="s">
        <v>33</v>
      </c>
      <c r="G160" s="171"/>
      <c r="H160" s="171"/>
    </row>
    <row r="161" spans="6:8" x14ac:dyDescent="0.3">
      <c r="F161" s="170"/>
      <c r="G161" s="171"/>
      <c r="H161" s="171"/>
    </row>
  </sheetData>
  <sheetProtection algorithmName="SHA-512" hashValue="VruQVqQWPMJ5azP7F+bVQLzMwFJ8dkEYemsubTOjj+wdMzN0k+elx2iRMPnNJvkSrBrbay2Pvo0tDfUdO+dJbw==" saltValue="GxY8CjwEj2qxE3DRsSDs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Sheet'!B77="","",'Summary Sheet'!B77)</f>
        <v>5140 W FULTON ST</v>
      </c>
      <c r="C4" s="173"/>
      <c r="D4" s="120"/>
      <c r="E4" s="4"/>
      <c r="F4" s="120"/>
      <c r="G4" s="120"/>
      <c r="H4" s="5"/>
    </row>
    <row r="5" spans="1:14" ht="15" customHeight="1" x14ac:dyDescent="0.25">
      <c r="A5" s="75" t="s">
        <v>20</v>
      </c>
      <c r="B5" s="174" t="str">
        <f>IF('Summary Sheet'!C77="","",'Summary Sheet'!C77)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22610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22610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SUM(Demolition_45[Amount])</f>
        <v>22610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SUM(Rehab_45[Amount])</f>
        <v>0</v>
      </c>
      <c r="E160" s="34"/>
      <c r="F160" s="170" t="s">
        <v>33</v>
      </c>
      <c r="G160" s="171"/>
      <c r="H160" s="171"/>
    </row>
    <row r="161" spans="6:8" x14ac:dyDescent="0.3">
      <c r="F161" s="170"/>
      <c r="G161" s="171"/>
      <c r="H161" s="171"/>
    </row>
  </sheetData>
  <sheetProtection algorithmName="SHA-512" hashValue="NKCc8h3OvtK/v6AXvMujuSB7/RwxS+7bd5s2NY9CWIclSV4cO2Zqg0F3sOqZbBjddFXs+WEQtbbXYr4JAoi65g==" saltValue="72SvOspP1LCN10WeKJzf7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Sheet'!B78="","",'Summary Sheet'!B78)</f>
        <v>5142 S WOLCOTT AVE</v>
      </c>
      <c r="C4" s="173"/>
      <c r="D4" s="120"/>
      <c r="E4" s="4"/>
      <c r="F4" s="120"/>
      <c r="G4" s="120"/>
      <c r="H4" s="5"/>
    </row>
    <row r="5" spans="1:14" ht="15" customHeight="1" x14ac:dyDescent="0.25">
      <c r="A5" s="75" t="s">
        <v>20</v>
      </c>
      <c r="B5" s="174" t="str">
        <f>IF('Summary Sheet'!C78="","",'Summary Sheet'!C78)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SUM(Demolition_46[Amount])</f>
        <v>21310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SUM(Rehab_46[Amount])</f>
        <v>0</v>
      </c>
      <c r="E160" s="34"/>
      <c r="F160" s="170" t="s">
        <v>33</v>
      </c>
      <c r="G160" s="171"/>
      <c r="H160" s="171"/>
    </row>
    <row r="161" spans="6:8" x14ac:dyDescent="0.3">
      <c r="F161" s="170"/>
      <c r="G161" s="171"/>
      <c r="H161" s="171"/>
    </row>
  </sheetData>
  <sheetProtection algorithmName="SHA-512" hashValue="9BrjIDXOUyBz4Km8SHfElEQjJzPrmHaZ5gCYLpGnK+Su7r5gS3E0si2GN5aKlGiYsmrU2AXidqdbNWYCCYFXRQ==" saltValue="LR5F2WzXBb/n//rW+xDPt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Sheet'!B79="","",'Summary Sheet'!B79)</f>
        <v>5148 S EMERALD AVE</v>
      </c>
      <c r="C4" s="173"/>
      <c r="D4" s="120"/>
      <c r="E4" s="4"/>
      <c r="F4" s="120"/>
      <c r="G4" s="120"/>
      <c r="H4" s="5"/>
    </row>
    <row r="5" spans="1:14" ht="15" customHeight="1" x14ac:dyDescent="0.25">
      <c r="A5" s="75" t="s">
        <v>20</v>
      </c>
      <c r="B5" s="174" t="str">
        <f>IF('Summary Sheet'!C79="","",'Summary Sheet'!C79)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SUM(Demolition_47[Amount])</f>
        <v>22210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SUM(Rehab_47[Amount])</f>
        <v>0</v>
      </c>
      <c r="E160" s="34"/>
      <c r="F160" s="170" t="s">
        <v>33</v>
      </c>
      <c r="G160" s="171"/>
      <c r="H160" s="171"/>
    </row>
    <row r="161" spans="6:8" x14ac:dyDescent="0.3">
      <c r="F161" s="170"/>
      <c r="G161" s="171"/>
      <c r="H161" s="171"/>
    </row>
  </sheetData>
  <sheetProtection algorithmName="SHA-512" hashValue="dWgYTNtEo22wRZb5lUar+YLpOB9VS9AZxPMrQlQV0EzK/WHXuRGMpOT702DHcpm5yMnnYMM4lnZA2q4OY8xCTA==" saltValue="SdQCgEtbKLqcmU4pNo/nX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Sheet'!B80="","",'Summary Sheet'!B80)</f>
        <v>5151 S PAULINA ST</v>
      </c>
      <c r="C4" s="173"/>
      <c r="D4" s="120"/>
      <c r="E4" s="4"/>
      <c r="F4" s="120"/>
      <c r="G4" s="120"/>
      <c r="H4" s="5"/>
    </row>
    <row r="5" spans="1:14" ht="15" customHeight="1" x14ac:dyDescent="0.25">
      <c r="A5" s="75" t="s">
        <v>20</v>
      </c>
      <c r="B5" s="174" t="str">
        <f>IF('Summary Sheet'!C80="","",'Summary Sheet'!C80)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SUM(Demolition_48[Amount])</f>
        <v>20510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SUM(Rehab_48[Amount])</f>
        <v>0</v>
      </c>
      <c r="E160" s="34"/>
      <c r="F160" s="170" t="s">
        <v>33</v>
      </c>
      <c r="G160" s="171"/>
      <c r="H160" s="171"/>
    </row>
    <row r="161" spans="6:8" x14ac:dyDescent="0.3">
      <c r="F161" s="170"/>
      <c r="G161" s="171"/>
      <c r="H161" s="171"/>
    </row>
  </sheetData>
  <sheetProtection algorithmName="SHA-512" hashValue="8s2l1Ix87TTFWtZ+9enoqI+Q3Shuq1+OLeqlmcf19TYF+N8OSwSwvbV0HWGm9UK/+xZVbBmGpZQ7P0k0A8shAg==" saltValue="Mot+th3tJV0+vrJ8C6Xjb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61"/>
  <sheetViews>
    <sheetView showGridLines="0" zoomScaleNormal="100" workbookViewId="0">
      <pane ySplit="9" topLeftCell="A110"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Sheet'!B36="","",'Summary Sheet'!B36)</f>
        <v>4139 W FIFTH AVE</v>
      </c>
      <c r="C4" s="173"/>
      <c r="D4" s="90"/>
      <c r="E4" s="4"/>
      <c r="F4" s="90"/>
      <c r="G4" s="90"/>
      <c r="H4" s="5"/>
    </row>
    <row r="5" spans="1:14" ht="15" customHeight="1" x14ac:dyDescent="0.25">
      <c r="A5" s="75" t="s">
        <v>20</v>
      </c>
      <c r="B5" s="174" t="str">
        <f>IF('Summary Sheet'!C36="","",'Summary Sheet'!C36)</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SUM(Demolition_4[Amount])</f>
        <v>28510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SUM(Rehab_4[Amount])</f>
        <v>0</v>
      </c>
      <c r="E160" s="34"/>
      <c r="F160" s="170" t="s">
        <v>33</v>
      </c>
      <c r="G160" s="171"/>
      <c r="H160" s="171"/>
    </row>
    <row r="161" spans="6:8" x14ac:dyDescent="0.3">
      <c r="F161" s="170"/>
      <c r="G161" s="171"/>
      <c r="H161" s="171"/>
    </row>
  </sheetData>
  <sheetProtection algorithmName="SHA-512" hashValue="gLSJJIXMqPgfriev0ZAMjbw5HSRmq2uCtmywv+YXAqJUlV0zo6XPyTkqdgueCpvDeLL3x6hNL+Ws6iRpHq8LHA==" saltValue="jfX1MQIDy7OtG4UwvopMD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Sheet'!B81="","",'Summary Sheet'!B81)</f>
        <v>515 W 62ND ST</v>
      </c>
      <c r="C4" s="173"/>
      <c r="D4" s="120"/>
      <c r="E4" s="4"/>
      <c r="F4" s="120"/>
      <c r="G4" s="120"/>
      <c r="H4" s="5"/>
    </row>
    <row r="5" spans="1:14" ht="15" customHeight="1" x14ac:dyDescent="0.25">
      <c r="A5" s="75" t="s">
        <v>20</v>
      </c>
      <c r="B5" s="174" t="str">
        <f>IF('Summary Sheet'!C81="","",'Summary Sheet'!C81)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37410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37410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SUM(Demolition_49[Amount])</f>
        <v>37410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SUM(Rehab_49[Amount])</f>
        <v>0</v>
      </c>
      <c r="E160" s="34"/>
      <c r="F160" s="170" t="s">
        <v>33</v>
      </c>
      <c r="G160" s="171"/>
      <c r="H160" s="171"/>
    </row>
    <row r="161" spans="6:8" x14ac:dyDescent="0.3">
      <c r="F161" s="170"/>
      <c r="G161" s="171"/>
      <c r="H161" s="171"/>
    </row>
  </sheetData>
  <sheetProtection algorithmName="SHA-512" hashValue="duBFNw4xV/nK78UjLPr11rtNWgsj2P+K9EPuQAX6NEfsCYbrlXWTLIEMoXJPf6EFJLAaR1eDcxjXkUigngxifA==" saltValue="JZeBzAK9v6hbJ+0sylv0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Sheet'!B82="","",'Summary Sheet'!B82)</f>
        <v>5212 S MARSHFIELD AVE</v>
      </c>
      <c r="C4" s="173"/>
      <c r="D4" s="120"/>
      <c r="E4" s="4"/>
      <c r="F4" s="120"/>
      <c r="G4" s="120"/>
      <c r="H4" s="5"/>
    </row>
    <row r="5" spans="1:14" ht="15" customHeight="1" x14ac:dyDescent="0.25">
      <c r="A5" s="75" t="s">
        <v>20</v>
      </c>
      <c r="B5" s="174" t="str">
        <f>IF('Summary Sheet'!C82="","",'Summary Sheet'!C82)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SUM(Demolition_50[Amount])</f>
        <v>21510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SUM(Rehab_50[Amount])</f>
        <v>0</v>
      </c>
      <c r="E160" s="34"/>
      <c r="F160" s="170" t="s">
        <v>33</v>
      </c>
      <c r="G160" s="171"/>
      <c r="H160" s="171"/>
    </row>
    <row r="161" spans="6:8" x14ac:dyDescent="0.3">
      <c r="F161" s="170"/>
      <c r="G161" s="171"/>
      <c r="H161" s="171"/>
    </row>
  </sheetData>
  <sheetProtection algorithmName="SHA-512" hashValue="wXqev18orIWsEBwdifH0ftW4SiEa+z9F/fb8edOwbbaencvcaz6d45lM4LKo465LOlcKOh76ZmfKlcwf79SgdA==" saltValue="fCZn8a+SMNbHa9lPtFNm0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Sheet'!B83="","",'Summary Sheet'!B83)</f>
        <v>5213 S ABERDEEN ST</v>
      </c>
      <c r="C4" s="173"/>
      <c r="D4" s="120"/>
      <c r="E4" s="4"/>
      <c r="F4" s="120"/>
      <c r="G4" s="120"/>
      <c r="H4" s="5"/>
    </row>
    <row r="5" spans="1:14" ht="15" customHeight="1" x14ac:dyDescent="0.25">
      <c r="A5" s="75" t="s">
        <v>20</v>
      </c>
      <c r="B5" s="174" t="str">
        <f>IF('Summary Sheet'!C83="","",'Summary Sheet'!C83)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8900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8900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SUM(Demolition_51[Amount])</f>
        <v>8900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SUM(Rehab_51[Amount])</f>
        <v>0</v>
      </c>
      <c r="E160" s="34"/>
      <c r="F160" s="170" t="s">
        <v>33</v>
      </c>
      <c r="G160" s="171"/>
      <c r="H160" s="171"/>
    </row>
    <row r="161" spans="6:8" x14ac:dyDescent="0.3">
      <c r="F161" s="170"/>
      <c r="G161" s="171"/>
      <c r="H161" s="171"/>
    </row>
  </sheetData>
  <sheetProtection algorithmName="SHA-512" hashValue="Q2oB4KKQBiPDOWwpZGWxkzCcahayOoj9Jc+Pc+0031e0WxjhTxpvEHWLaGnHm2LADaUlekBJLEr40Vk5psAB8Q==" saltValue="8FCH3e0NuuUI+ANtZ7wh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Sheet'!B84="","",'Summary Sheet'!B84)</f>
        <v>5216 W FERDINAND ST</v>
      </c>
      <c r="C4" s="173"/>
      <c r="D4" s="120"/>
      <c r="E4" s="4"/>
      <c r="F4" s="120"/>
      <c r="G4" s="120"/>
      <c r="H4" s="5"/>
    </row>
    <row r="5" spans="1:14" ht="15" customHeight="1" x14ac:dyDescent="0.25">
      <c r="A5" s="75" t="s">
        <v>20</v>
      </c>
      <c r="B5" s="174" t="str">
        <f>IF('Summary Sheet'!C84="","",'Summary Sheet'!C84)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SUM(Demolition_52[Amount])</f>
        <v>21810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SUM(Rehab_52[Amount])</f>
        <v>0</v>
      </c>
      <c r="E160" s="34"/>
      <c r="F160" s="170" t="s">
        <v>33</v>
      </c>
      <c r="G160" s="171"/>
      <c r="H160" s="171"/>
    </row>
    <row r="161" spans="6:8" x14ac:dyDescent="0.3">
      <c r="F161" s="170"/>
      <c r="G161" s="171"/>
      <c r="H161" s="171"/>
    </row>
  </sheetData>
  <sheetProtection algorithmName="SHA-512" hashValue="KCti/o/h0pK7jFO+RZ2H6aIN8ne8+glUoF+Hro+WD9gtNXEI8HT7qkfibL4V6MD2j1NfzmKf3VcnmctsUdvseg==" saltValue="bu0kBdFJynRW+9WOSqldN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Sheet'!B85="","",'Summary Sheet'!B85)</f>
        <v>5218 S LAFLIN ST</v>
      </c>
      <c r="C4" s="173"/>
      <c r="D4" s="120"/>
      <c r="E4" s="4"/>
      <c r="F4" s="120"/>
      <c r="G4" s="120"/>
      <c r="H4" s="5"/>
    </row>
    <row r="5" spans="1:14" ht="15" customHeight="1" x14ac:dyDescent="0.25">
      <c r="A5" s="75" t="s">
        <v>20</v>
      </c>
      <c r="B5" s="174" t="str">
        <f>IF('Summary Sheet'!C85="","",'Summary Sheet'!C85)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56510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56510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SUM(Demolition_53[Amount])</f>
        <v>56510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SUM(Rehab_53[Amount])</f>
        <v>0</v>
      </c>
      <c r="E160" s="34"/>
      <c r="F160" s="170" t="s">
        <v>33</v>
      </c>
      <c r="G160" s="171"/>
      <c r="H160" s="171"/>
    </row>
    <row r="161" spans="6:8" x14ac:dyDescent="0.3">
      <c r="F161" s="170"/>
      <c r="G161" s="171"/>
      <c r="H161" s="171"/>
    </row>
  </sheetData>
  <sheetProtection algorithmName="SHA-512" hashValue="cCiKyfVsFd8Huv75TxKO4Lx+Boi2/JBGDRA89DeOZ40H3ybXEYymTfmJx5ALztuYRXqxCDUkvDTzFcfZUCpbhA==" saltValue="kQfqi9B+LZOfgNMGsLgi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Sheet'!B86="","",'Summary Sheet'!B86)</f>
        <v>5222 W FERDINAND ST</v>
      </c>
      <c r="C4" s="173"/>
      <c r="D4" s="120"/>
      <c r="E4" s="4"/>
      <c r="F4" s="120"/>
      <c r="G4" s="120"/>
      <c r="H4" s="5"/>
    </row>
    <row r="5" spans="1:14" ht="15" customHeight="1" x14ac:dyDescent="0.25">
      <c r="A5" s="75" t="s">
        <v>20</v>
      </c>
      <c r="B5" s="174" t="str">
        <f>IF('Summary Sheet'!C86="","",'Summary Sheet'!C86)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SUM(Demolition_54[Amount])</f>
        <v>21810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SUM(Rehab_54[Amount])</f>
        <v>0</v>
      </c>
      <c r="E160" s="34"/>
      <c r="F160" s="170" t="s">
        <v>33</v>
      </c>
      <c r="G160" s="171"/>
      <c r="H160" s="171"/>
    </row>
    <row r="161" spans="6:8" x14ac:dyDescent="0.3">
      <c r="F161" s="170"/>
      <c r="G161" s="171"/>
      <c r="H161" s="171"/>
    </row>
  </sheetData>
  <sheetProtection algorithmName="SHA-512" hashValue="i3Eeoy3T2X3X0ADLHsI3h51+OomhnPimZXtByCcEqJAdWaL6mnrtCguazwY3WO5Q73GK2liqBA4U2qzlYBHvZQ==" saltValue="aFeNX6ZTcthtsL0AZfW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Sheet'!B87="","",'Summary Sheet'!B87)</f>
        <v>5223 S MORGAN ST</v>
      </c>
      <c r="C4" s="173"/>
      <c r="D4" s="120"/>
      <c r="E4" s="4"/>
      <c r="F4" s="120"/>
      <c r="G4" s="120"/>
      <c r="H4" s="5"/>
    </row>
    <row r="5" spans="1:14" ht="15" customHeight="1" x14ac:dyDescent="0.25">
      <c r="A5" s="75" t="s">
        <v>20</v>
      </c>
      <c r="B5" s="174" t="str">
        <f>IF('Summary Sheet'!C87="","",'Summary Sheet'!C87)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SUM(Demolition_55[Amount])</f>
        <v>18510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SUM(Rehab_55[Amount])</f>
        <v>0</v>
      </c>
      <c r="E160" s="34"/>
      <c r="F160" s="170" t="s">
        <v>33</v>
      </c>
      <c r="G160" s="171"/>
      <c r="H160" s="171"/>
    </row>
    <row r="161" spans="6:8" x14ac:dyDescent="0.3">
      <c r="F161" s="170"/>
      <c r="G161" s="171"/>
      <c r="H161" s="171"/>
    </row>
  </sheetData>
  <sheetProtection algorithmName="SHA-512" hashValue="4fImZoITUJrsnsrBjlnwRKLRxcpJVg+H3vIUF1JNRKoO9+CztCsYepgBlWKT9AhxfqEDSE8DAdD+OjKZKJ2NZg==" saltValue="yOshlW5U5XQKItCiZj27Z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Sheet'!B88="","",'Summary Sheet'!B88)</f>
        <v>5245 S MARSHFIELD AVE</v>
      </c>
      <c r="C4" s="173"/>
      <c r="D4" s="120"/>
      <c r="E4" s="4"/>
      <c r="F4" s="120"/>
      <c r="G4" s="120"/>
      <c r="H4" s="5"/>
    </row>
    <row r="5" spans="1:14" ht="15" customHeight="1" x14ac:dyDescent="0.25">
      <c r="A5" s="75" t="s">
        <v>20</v>
      </c>
      <c r="B5" s="174" t="str">
        <f>IF('Summary Sheet'!C88="","",'Summary Sheet'!C88)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SUM(Demolition_56[Amount])</f>
        <v>18510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SUM(Rehab_56[Amount])</f>
        <v>0</v>
      </c>
      <c r="E160" s="34"/>
      <c r="F160" s="170" t="s">
        <v>33</v>
      </c>
      <c r="G160" s="171"/>
      <c r="H160" s="171"/>
    </row>
    <row r="161" spans="6:8" x14ac:dyDescent="0.3">
      <c r="F161" s="170"/>
      <c r="G161" s="171"/>
      <c r="H161" s="171"/>
    </row>
  </sheetData>
  <sheetProtection algorithmName="SHA-512" hashValue="NOmJEXt2zfvejYIZeElA7osqvLP2yHGLqo35O97zjI7cFT4qDDiIL7TueCS8QlyrZbkJtmm85Ar61MAlAq5PsA==" saltValue="+cyAymehWB75gcLmqO6x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Sheet'!B89="","",'Summary Sheet'!B89)</f>
        <v>5246 S MARSHFIELD AVE</v>
      </c>
      <c r="C4" s="173"/>
      <c r="D4" s="120"/>
      <c r="E4" s="4"/>
      <c r="F4" s="120"/>
      <c r="G4" s="120"/>
      <c r="H4" s="5"/>
    </row>
    <row r="5" spans="1:14" ht="15" customHeight="1" x14ac:dyDescent="0.25">
      <c r="A5" s="75" t="s">
        <v>20</v>
      </c>
      <c r="B5" s="174" t="str">
        <f>IF('Summary Sheet'!C89="","",'Summary Sheet'!C89)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SUM(Demolition_57[Amount])</f>
        <v>23510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SUM(Rehab_57[Amount])</f>
        <v>0</v>
      </c>
      <c r="E160" s="34"/>
      <c r="F160" s="170" t="s">
        <v>33</v>
      </c>
      <c r="G160" s="171"/>
      <c r="H160" s="171"/>
    </row>
    <row r="161" spans="6:8" x14ac:dyDescent="0.3">
      <c r="F161" s="170"/>
      <c r="G161" s="171"/>
      <c r="H161" s="171"/>
    </row>
  </sheetData>
  <sheetProtection algorithmName="SHA-512" hashValue="JZ25aQgGfFxQAYI3vMeMv5cawslKYjPxC5Rc7BG9w57uab8MpWhzsaI60jef/r5APkufhGaJtaj1/f0LeflrJg==" saltValue="csHJMzpNXCEcqtv/TGn06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Sheet'!B90="","",'Summary Sheet'!B90)</f>
        <v>5300 S MAY ST</v>
      </c>
      <c r="C4" s="173"/>
      <c r="D4" s="120"/>
      <c r="E4" s="4"/>
      <c r="F4" s="120"/>
      <c r="G4" s="120"/>
      <c r="H4" s="5"/>
    </row>
    <row r="5" spans="1:14" ht="15" customHeight="1" x14ac:dyDescent="0.25">
      <c r="A5" s="75" t="s">
        <v>20</v>
      </c>
      <c r="B5" s="174" t="str">
        <f>IF('Summary Sheet'!C90="","",'Summary Sheet'!C90)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SUM(Demolition_58[Amount])</f>
        <v>19010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SUM(Rehab_58[Amount])</f>
        <v>0</v>
      </c>
      <c r="E160" s="34"/>
      <c r="F160" s="170" t="s">
        <v>33</v>
      </c>
      <c r="G160" s="171"/>
      <c r="H160" s="171"/>
    </row>
    <row r="161" spans="6:8" x14ac:dyDescent="0.3">
      <c r="F161" s="170"/>
      <c r="G161" s="171"/>
      <c r="H161" s="171"/>
    </row>
  </sheetData>
  <sheetProtection algorithmName="SHA-512" hashValue="pwvAHaeKhFhKq9sThIjJh7qiN3760zCSHG1oqpJLCwDVZs4AIypDSHFdjFYCPZ6y3wl0lqWQfZHWyo8/wJBsqg==" saltValue="uvNwZ6Oj80vv+XyLc309l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Sheet'!B37="","",'Summary Sheet'!B37)</f>
        <v>4143 W GLADYS AVE</v>
      </c>
      <c r="C4" s="173"/>
      <c r="D4" s="90"/>
      <c r="E4" s="4"/>
      <c r="F4" s="90"/>
      <c r="G4" s="90"/>
      <c r="H4" s="5"/>
    </row>
    <row r="5" spans="1:14" ht="15" customHeight="1" x14ac:dyDescent="0.25">
      <c r="A5" s="75" t="s">
        <v>20</v>
      </c>
      <c r="B5" s="174" t="str">
        <f>IF('Summary Sheet'!C37="","",'Summary Sheet'!C37)</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34810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34810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SUM(Demolition_5[Amount])</f>
        <v>34810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SUM(Rehab_5[Amount])</f>
        <v>0</v>
      </c>
      <c r="E160" s="34"/>
      <c r="F160" s="170" t="s">
        <v>33</v>
      </c>
      <c r="G160" s="171"/>
      <c r="H160" s="171"/>
    </row>
    <row r="161" spans="6:8" x14ac:dyDescent="0.3">
      <c r="F161" s="170"/>
      <c r="G161" s="171"/>
      <c r="H161" s="171"/>
    </row>
  </sheetData>
  <sheetProtection algorithmName="SHA-512" hashValue="jwSTbhxnEBhOZ/cUUZSAFRUafgRtQdRz3CwL9RS4BjbLz/CfpiccYUrnoop5wZbfjl4cfaO/EsyVBFHEeMT8FA==" saltValue="CS7cX7uIIaJbRGL8mPkvP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Sheet'!B91="","",'Summary Sheet'!B91)</f>
        <v>5314 S ABERDEEN ST</v>
      </c>
      <c r="C4" s="173"/>
      <c r="D4" s="120"/>
      <c r="E4" s="4"/>
      <c r="F4" s="120"/>
      <c r="G4" s="120"/>
      <c r="H4" s="5"/>
    </row>
    <row r="5" spans="1:14" ht="15" customHeight="1" x14ac:dyDescent="0.25">
      <c r="A5" s="75" t="s">
        <v>20</v>
      </c>
      <c r="B5" s="174" t="str">
        <f>IF('Summary Sheet'!C91="","",'Summary Sheet'!C91)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16410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16410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SUM(Demolition_59[Amount])</f>
        <v>16410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SUM(Rehab_59[Amount])</f>
        <v>0</v>
      </c>
      <c r="E160" s="34"/>
      <c r="F160" s="170" t="s">
        <v>33</v>
      </c>
      <c r="G160" s="171"/>
      <c r="H160" s="171"/>
    </row>
    <row r="161" spans="6:8" x14ac:dyDescent="0.3">
      <c r="F161" s="170"/>
      <c r="G161" s="171"/>
      <c r="H161" s="171"/>
    </row>
  </sheetData>
  <sheetProtection algorithmName="SHA-512" hashValue="/5YJz3uoQ2gXVCK9ROBWyMCqJ/IIzM+Trw6xPpE2K5SWogWvJtlEWw5PnXxBygrmI9r3lhMIYntwf+vEebT1wA==" saltValue="VIsbjijd+9IMvWtDFfUY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Sheet'!B92="","",'Summary Sheet'!B92)</f>
        <v>5320 W FERDINAND ST</v>
      </c>
      <c r="C4" s="173"/>
      <c r="D4" s="120"/>
      <c r="E4" s="4"/>
      <c r="F4" s="120"/>
      <c r="G4" s="120"/>
      <c r="H4" s="5"/>
    </row>
    <row r="5" spans="1:14" ht="15" customHeight="1" x14ac:dyDescent="0.25">
      <c r="A5" s="75" t="s">
        <v>20</v>
      </c>
      <c r="B5" s="174" t="str">
        <f>IF('Summary Sheet'!C92="","",'Summary Sheet'!C92)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SUM(Demolition_60[Amount])</f>
        <v>24210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SUM(Rehab_60[Amount])</f>
        <v>0</v>
      </c>
      <c r="E160" s="34"/>
      <c r="F160" s="170" t="s">
        <v>33</v>
      </c>
      <c r="G160" s="171"/>
      <c r="H160" s="171"/>
    </row>
    <row r="161" spans="6:8" x14ac:dyDescent="0.3">
      <c r="F161" s="170"/>
      <c r="G161" s="171"/>
      <c r="H161" s="171"/>
    </row>
  </sheetData>
  <sheetProtection algorithmName="SHA-512" hashValue="uZDh/QD5lN1MDz3lhoaXOw3QSZlmG0zGqKa3WLf6ekAGtyNMmRwcJWvK7ldrE7ucUNm8106ElUjjseuzIfGTmQ==" saltValue="5Zie0GI8N2ymw+GhVzHy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Sheet'!B93="","",'Summary Sheet'!B93)</f>
        <v>5326 S PAULINA ST</v>
      </c>
      <c r="C4" s="173"/>
      <c r="D4" s="120"/>
      <c r="E4" s="4"/>
      <c r="F4" s="120"/>
      <c r="G4" s="120"/>
      <c r="H4" s="5"/>
    </row>
    <row r="5" spans="1:14" ht="15" customHeight="1" x14ac:dyDescent="0.25">
      <c r="A5" s="75" t="s">
        <v>20</v>
      </c>
      <c r="B5" s="174" t="str">
        <f>IF('Summary Sheet'!C93="","",'Summary Sheet'!C93)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SUM(Demolition_61[Amount])</f>
        <v>20510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SUM(Rehab_61[Amount])</f>
        <v>0</v>
      </c>
      <c r="E160" s="34"/>
      <c r="F160" s="170" t="s">
        <v>33</v>
      </c>
      <c r="G160" s="171"/>
      <c r="H160" s="171"/>
    </row>
    <row r="161" spans="6:8" x14ac:dyDescent="0.3">
      <c r="F161" s="170"/>
      <c r="G161" s="171"/>
      <c r="H161" s="171"/>
    </row>
  </sheetData>
  <sheetProtection algorithmName="SHA-512" hashValue="N7NrDFVCPOWY02GnvSIAR0VqmQGr0YJJlnQaAFrLRV9AR+j9TBYqzTMjSXB+uwqTDREkyKFVy3mQJjMNeYQT2g==" saltValue="Z5u8fVOMv8z+6vFBIzQR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Sheet'!B94="","",'Summary Sheet'!B94)</f>
        <v xml:space="preserve">5326 W FERDINAND </v>
      </c>
      <c r="C4" s="173"/>
      <c r="D4" s="120"/>
      <c r="E4" s="4"/>
      <c r="F4" s="120"/>
      <c r="G4" s="120"/>
      <c r="H4" s="5"/>
    </row>
    <row r="5" spans="1:14" ht="15" customHeight="1" x14ac:dyDescent="0.25">
      <c r="A5" s="75" t="s">
        <v>20</v>
      </c>
      <c r="B5" s="174" t="str">
        <f>IF('Summary Sheet'!C94="","",'Summary Sheet'!C94)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26210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26210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SUM(Demolition_62[Amount])</f>
        <v>26210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SUM(Rehab_62[Amount])</f>
        <v>0</v>
      </c>
      <c r="E160" s="34"/>
      <c r="F160" s="170" t="s">
        <v>33</v>
      </c>
      <c r="G160" s="171"/>
      <c r="H160" s="171"/>
    </row>
    <row r="161" spans="6:8" x14ac:dyDescent="0.3">
      <c r="F161" s="170"/>
      <c r="G161" s="171"/>
      <c r="H161" s="171"/>
    </row>
  </sheetData>
  <sheetProtection algorithmName="SHA-512" hashValue="1/dAmrAHBf/wNHrb3gcJzpP8PavAMGTq+td62ETxkUxWKADc1YpT9iC2x7WyaeTYXerQNsrxYXH1modVepuUHA==" saltValue="BM7WFlwZxeT2zoZdDMUc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Sheet'!B95="","",'Summary Sheet'!B95)</f>
        <v>5328 S UNION AVE</v>
      </c>
      <c r="C4" s="173"/>
      <c r="D4" s="120"/>
      <c r="E4" s="4"/>
      <c r="F4" s="120"/>
      <c r="G4" s="120"/>
      <c r="H4" s="5"/>
    </row>
    <row r="5" spans="1:14" ht="15" customHeight="1" x14ac:dyDescent="0.25">
      <c r="A5" s="75" t="s">
        <v>20</v>
      </c>
      <c r="B5" s="174" t="str">
        <f>IF('Summary Sheet'!C95="","",'Summary Sheet'!C95)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16910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16910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SUM(Demolition_63[Amount])</f>
        <v>16910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SUM(Rehab_63[Amount])</f>
        <v>0</v>
      </c>
      <c r="E160" s="34"/>
      <c r="F160" s="170" t="s">
        <v>33</v>
      </c>
      <c r="G160" s="171"/>
      <c r="H160" s="171"/>
    </row>
    <row r="161" spans="6:8" x14ac:dyDescent="0.3">
      <c r="F161" s="170"/>
      <c r="G161" s="171"/>
      <c r="H161" s="171"/>
    </row>
  </sheetData>
  <sheetProtection algorithmName="SHA-512" hashValue="CXdL6dat4S5ashvPnuz5owhfGW63pvBzL21TuXF7pQOisdsJqKVfXNz3yNAgBUMye28VbbD2zo5atL1Zh+ZRNg==" saltValue="r1F+yQxamoYdLiHWDvRPd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Sheet'!B96="","",'Summary Sheet'!B96)</f>
        <v>5331 S PAULINA ST</v>
      </c>
      <c r="C4" s="173"/>
      <c r="D4" s="120"/>
      <c r="E4" s="4"/>
      <c r="F4" s="120"/>
      <c r="G4" s="120"/>
      <c r="H4" s="5"/>
    </row>
    <row r="5" spans="1:14" ht="15" customHeight="1" x14ac:dyDescent="0.25">
      <c r="A5" s="75" t="s">
        <v>20</v>
      </c>
      <c r="B5" s="174" t="str">
        <f>IF('Summary Sheet'!C96="","",'Summary Sheet'!C96)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SUM(Demolition_64[Amount])</f>
        <v>20510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SUM(Rehab_64[Amount])</f>
        <v>0</v>
      </c>
      <c r="E160" s="34"/>
      <c r="F160" s="170" t="s">
        <v>33</v>
      </c>
      <c r="G160" s="171"/>
      <c r="H160" s="171"/>
    </row>
    <row r="161" spans="6:8" x14ac:dyDescent="0.3">
      <c r="F161" s="170"/>
      <c r="G161" s="171"/>
      <c r="H161" s="171"/>
    </row>
  </sheetData>
  <sheetProtection algorithmName="SHA-512" hashValue="5hm0m0LYDVCzYX4PdzbCKynEPUfeSagfIFU19bVd3+KHeb+SU6i4LKm0rvGeqFMwkkwe8ttgMGoBiTqW5GqIeg==" saltValue="jsO+C/KhP9gxgwEuc3GX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Sheet'!B97="","",'Summary Sheet'!B97)</f>
        <v>5337 S LAFLIN ST</v>
      </c>
      <c r="C4" s="173"/>
      <c r="D4" s="120"/>
      <c r="E4" s="4"/>
      <c r="F4" s="120"/>
      <c r="G4" s="120"/>
      <c r="H4" s="5"/>
    </row>
    <row r="5" spans="1:14" ht="15" customHeight="1" x14ac:dyDescent="0.25">
      <c r="A5" s="75" t="s">
        <v>20</v>
      </c>
      <c r="B5" s="174" t="str">
        <f>IF('Summary Sheet'!C97="","",'Summary Sheet'!C97)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SUM(Demolition_65[Amount])</f>
        <v>24810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SUM(Rehab_65[Amount])</f>
        <v>0</v>
      </c>
      <c r="E160" s="34"/>
      <c r="F160" s="170" t="s">
        <v>33</v>
      </c>
      <c r="G160" s="171"/>
      <c r="H160" s="171"/>
    </row>
    <row r="161" spans="6:8" x14ac:dyDescent="0.3">
      <c r="F161" s="170"/>
      <c r="G161" s="171"/>
      <c r="H161" s="171"/>
    </row>
  </sheetData>
  <sheetProtection algorithmName="SHA-512" hashValue="zNQikcXDlfWDExCrfL8YSB8aRdr3Q3cQTv8lL/dU7Lbv8Wo0IPdIw9GRnJu46hbfCY32zwKL/snPYj61hDNIaQ==" saltValue="J0S9VnsINeZNZwEKdxoN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Sheet'!B98="","",'Summary Sheet'!B98)</f>
        <v>5344 S WINCHESTER AVE</v>
      </c>
      <c r="C4" s="173"/>
      <c r="D4" s="120"/>
      <c r="E4" s="4"/>
      <c r="F4" s="120"/>
      <c r="G4" s="120"/>
      <c r="H4" s="5"/>
    </row>
    <row r="5" spans="1:14" ht="15" customHeight="1" x14ac:dyDescent="0.25">
      <c r="A5" s="75" t="s">
        <v>20</v>
      </c>
      <c r="B5" s="174" t="str">
        <f>IF('Summary Sheet'!C98="","",'Summary Sheet'!C98)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SUM(Demolition_66[Amount])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SUM(Rehab_66[Amount])</f>
        <v>0</v>
      </c>
      <c r="E160" s="34"/>
      <c r="F160" s="170" t="s">
        <v>33</v>
      </c>
      <c r="G160" s="171"/>
      <c r="H160" s="171"/>
    </row>
    <row r="161" spans="6:8" x14ac:dyDescent="0.3">
      <c r="F161" s="170"/>
      <c r="G161" s="171"/>
      <c r="H161" s="171"/>
    </row>
  </sheetData>
  <sheetProtection algorithmName="SHA-512" hashValue="OnqpjaKT5n5HcLdO6c8nqFI4AILwwmEvG0FXqlms+YlmrJarNnmRtOnEnvvITrtE8hF7BUFVY4Scg/8caEwYSg==" saltValue="rwi9rk5i34Zla44Vi7hD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Sheet'!B99="","",'Summary Sheet'!B99)</f>
        <v>5348 S HOYNE AVE</v>
      </c>
      <c r="C4" s="173"/>
      <c r="D4" s="120"/>
      <c r="E4" s="4"/>
      <c r="F4" s="120"/>
      <c r="G4" s="120"/>
      <c r="H4" s="5"/>
    </row>
    <row r="5" spans="1:14" ht="15" customHeight="1" x14ac:dyDescent="0.25">
      <c r="A5" s="75" t="s">
        <v>20</v>
      </c>
      <c r="B5" s="174" t="str">
        <f>IF('Summary Sheet'!C99="","",'Summary Sheet'!C99)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SUM(Demolition_67[Amount])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SUM(Rehab_67[Amount])</f>
        <v>0</v>
      </c>
      <c r="E160" s="34"/>
      <c r="F160" s="170" t="s">
        <v>33</v>
      </c>
      <c r="G160" s="171"/>
      <c r="H160" s="171"/>
    </row>
    <row r="161" spans="6:8" x14ac:dyDescent="0.3">
      <c r="F161" s="170"/>
      <c r="G161" s="171"/>
      <c r="H161" s="171"/>
    </row>
  </sheetData>
  <sheetProtection algorithmName="SHA-512" hashValue="PCKbfWX2w65y2u/2bOp9hTsNenlW4zAt7tIq/pCGRQSsuz9J7BPQDLzFSIB4WyZCTtqEqvdI06Ih2m2UBcNMHw==" saltValue="Guoj0rrGhSm3Wx9OcYuZL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Sheet'!B100="","",'Summary Sheet'!B100)</f>
        <v>5348 S PAULINA ST</v>
      </c>
      <c r="C4" s="173"/>
      <c r="D4" s="120"/>
      <c r="E4" s="4"/>
      <c r="F4" s="120"/>
      <c r="G4" s="120"/>
      <c r="H4" s="5"/>
    </row>
    <row r="5" spans="1:14" ht="15" customHeight="1" x14ac:dyDescent="0.25">
      <c r="A5" s="75" t="s">
        <v>20</v>
      </c>
      <c r="B5" s="174" t="str">
        <f>IF('Summary Sheet'!C100="","",'Summary Sheet'!C100)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SUM(Demolition_68[Amount])</f>
        <v>20510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SUM(Rehab_68[Amount])</f>
        <v>0</v>
      </c>
      <c r="E160" s="34"/>
      <c r="F160" s="170" t="s">
        <v>33</v>
      </c>
      <c r="G160" s="171"/>
      <c r="H160" s="171"/>
    </row>
    <row r="161" spans="6:8" x14ac:dyDescent="0.3">
      <c r="F161" s="170"/>
      <c r="G161" s="171"/>
      <c r="H161" s="171"/>
    </row>
  </sheetData>
  <sheetProtection algorithmName="SHA-512" hashValue="hSimjLtzBwunII2lCqs1ziPG5kj6A4OTaIBrQ6yh9n/8QSj7EKo8P+z0qyF8poxf1IXs+40FQBO8thSOt5bNzQ==" saltValue="2cv8EjA9rLj8HOba0yzM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Sheet'!B38="","",'Summary Sheet'!B38)</f>
        <v>4143 W VAN BUREN ST</v>
      </c>
      <c r="C4" s="173"/>
      <c r="D4" s="90"/>
      <c r="E4" s="4"/>
      <c r="F4" s="90"/>
      <c r="G4" s="90"/>
      <c r="H4" s="5"/>
    </row>
    <row r="5" spans="1:14" ht="15" customHeight="1" x14ac:dyDescent="0.25">
      <c r="A5" s="75" t="s">
        <v>20</v>
      </c>
      <c r="B5" s="174" t="str">
        <f>IF('Summary Sheet'!C38="","",'Summary Sheet'!C38)</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24690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24690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SUM(Demolition_6[Amount])</f>
        <v>24690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SUM(Rehab_6[Amount])</f>
        <v>0</v>
      </c>
      <c r="E160" s="34"/>
      <c r="F160" s="170" t="s">
        <v>33</v>
      </c>
      <c r="G160" s="171"/>
      <c r="H160" s="171"/>
    </row>
    <row r="161" spans="6:8" x14ac:dyDescent="0.3">
      <c r="F161" s="170"/>
      <c r="G161" s="171"/>
      <c r="H161" s="171"/>
    </row>
  </sheetData>
  <sheetProtection algorithmName="SHA-512" hashValue="XBE1lyRcrkZM2TfqhOaehQnvrs+SlNLlq/zDZ8JfsCmGAxXwKX3SaHx6Ph0/P7Ef1VpVn6Tg2ojZBdbiaeQpQQ==" saltValue="o8yChfTjzhYjKCJq/tZ+9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Sheet'!B101="","",'Summary Sheet'!B101)</f>
        <v>534 N LEAMINGTON AVE</v>
      </c>
      <c r="C4" s="173"/>
      <c r="D4" s="120"/>
      <c r="E4" s="4"/>
      <c r="F4" s="120"/>
      <c r="G4" s="120"/>
      <c r="H4" s="5"/>
    </row>
    <row r="5" spans="1:14" ht="15" customHeight="1" x14ac:dyDescent="0.25">
      <c r="A5" s="75" t="s">
        <v>20</v>
      </c>
      <c r="B5" s="174" t="str">
        <f>IF('Summary Sheet'!C101="","",'Summary Sheet'!C101)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SUM(Demolition_69[Amount])</f>
        <v>21810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SUM(Rehab_69[Amount])</f>
        <v>0</v>
      </c>
      <c r="E160" s="34"/>
      <c r="F160" s="170" t="s">
        <v>33</v>
      </c>
      <c r="G160" s="171"/>
      <c r="H160" s="171"/>
    </row>
    <row r="161" spans="6:8" x14ac:dyDescent="0.3">
      <c r="F161" s="170"/>
      <c r="G161" s="171"/>
      <c r="H161" s="171"/>
    </row>
  </sheetData>
  <sheetProtection algorithmName="SHA-512" hashValue="knBjaDxLH7//Gu4FXIhhW94m9WTh7Uw+KboVq2euWd9BxLgVuCGyc0tJVRoa5BrUJPUnTRRO3QZurc6V2dyvNg==" saltValue="fDvACZDZGCsyA6YUE3i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Sheet'!B102="","",'Summary Sheet'!B102)</f>
        <v>539 N SPAULDING AVE</v>
      </c>
      <c r="C4" s="173"/>
      <c r="D4" s="120"/>
      <c r="E4" s="4"/>
      <c r="F4" s="120"/>
      <c r="G4" s="120"/>
      <c r="H4" s="5"/>
    </row>
    <row r="5" spans="1:14" ht="15" customHeight="1" x14ac:dyDescent="0.25">
      <c r="A5" s="75" t="s">
        <v>20</v>
      </c>
      <c r="B5" s="174" t="str">
        <f>IF('Summary Sheet'!C102="","",'Summary Sheet'!C102)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SUM(Tree_70[Amount])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SUM(Demolition_70[Amount])</f>
        <v>23210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SUM(Rehab_70[Amount])</f>
        <v>0</v>
      </c>
      <c r="E160" s="34"/>
      <c r="F160" s="170" t="s">
        <v>33</v>
      </c>
      <c r="G160" s="171"/>
      <c r="H160" s="171"/>
    </row>
    <row r="161" spans="6:8" x14ac:dyDescent="0.3">
      <c r="F161" s="170"/>
      <c r="G161" s="171"/>
      <c r="H161" s="171"/>
    </row>
  </sheetData>
  <sheetProtection algorithmName="SHA-512" hashValue="IciXXEW6o9NsonLHaOWi0rOlIJomKQ+EVWXtr58pT398DooG4BUw/s9VyzIu8IgwdtnzYsCUFmNFZd8pvCIeRw==" saltValue="tMd5VvR07hsFBT8XAJpV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Sheet'!B103="","",'Summary Sheet'!B103)</f>
        <v>5422 S LAFLIN ST</v>
      </c>
      <c r="C4" s="173"/>
      <c r="D4" s="130"/>
      <c r="E4" s="4"/>
      <c r="F4" s="130"/>
      <c r="G4" s="130"/>
      <c r="H4" s="5"/>
    </row>
    <row r="5" spans="1:14" ht="15" customHeight="1" x14ac:dyDescent="0.25">
      <c r="A5" s="75" t="s">
        <v>20</v>
      </c>
      <c r="B5" s="174" t="str">
        <f>IF('Summary Sheet'!C103="","",'Summary Sheet'!C103)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SUM(Demolition_71[Amount])</f>
        <v>22210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SUM(Rehab_71[Amount])</f>
        <v>0</v>
      </c>
      <c r="E160" s="34"/>
      <c r="F160" s="170" t="s">
        <v>33</v>
      </c>
      <c r="G160" s="171"/>
      <c r="H160" s="171"/>
    </row>
    <row r="161" spans="6:8" x14ac:dyDescent="0.3">
      <c r="F161" s="170"/>
      <c r="G161" s="171"/>
      <c r="H161" s="171"/>
    </row>
  </sheetData>
  <sheetProtection algorithmName="SHA-512" hashValue="kzBrvLQvK5Qc7qi/wASCBRI7KhxiA89stzNmKykPpG8R7MF+pvAX6upcPuTu2F7Yr4t53azOxwczFshYKCCFQg==" saltValue="Po+Za4222gYf8bHQKaaTp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Sheet'!B104="","",'Summary Sheet'!B104)</f>
        <v>5428 S WINCHESTER AVE</v>
      </c>
      <c r="C4" s="173"/>
      <c r="D4" s="130"/>
      <c r="E4" s="4"/>
      <c r="F4" s="130"/>
      <c r="G4" s="130"/>
      <c r="H4" s="5"/>
    </row>
    <row r="5" spans="1:14" ht="15" customHeight="1" x14ac:dyDescent="0.25">
      <c r="A5" s="75" t="s">
        <v>20</v>
      </c>
      <c r="B5" s="174" t="str">
        <f>IF('Summary Sheet'!C104="","",'Summary Sheet'!C104)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29510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29510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SUM(Demolition_72[Amount])</f>
        <v>29510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SUM(Rehab_72[Amount])</f>
        <v>0</v>
      </c>
      <c r="E160" s="34"/>
      <c r="F160" s="170" t="s">
        <v>33</v>
      </c>
      <c r="G160" s="171"/>
      <c r="H160" s="171"/>
    </row>
    <row r="161" spans="6:8" x14ac:dyDescent="0.3">
      <c r="F161" s="170"/>
      <c r="G161" s="171"/>
      <c r="H161" s="171"/>
    </row>
  </sheetData>
  <sheetProtection algorithmName="SHA-512" hashValue="w40LabkiOLcuEyUmHDgEuGAxqs548hnqdxweyvqA/SyKiTsVyAnP5uSoXOXNYKVdirhnitCoqSsO6sMefAyq5Q==" saltValue="3v61qw9vqNBW1mYS5/lyA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Sheet'!B105="","",'Summary Sheet'!B105)</f>
        <v>5430 S JUSTINE ST</v>
      </c>
      <c r="C4" s="173"/>
      <c r="D4" s="130"/>
      <c r="E4" s="4"/>
      <c r="F4" s="130"/>
      <c r="G4" s="130"/>
      <c r="H4" s="5"/>
    </row>
    <row r="5" spans="1:14" ht="15" customHeight="1" x14ac:dyDescent="0.25">
      <c r="A5" s="75" t="s">
        <v>20</v>
      </c>
      <c r="B5" s="174" t="str">
        <f>IF('Summary Sheet'!C105="","",'Summary Sheet'!C105)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SUM(Demolition_73[Amount])</f>
        <v>18010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SUM(Rehab_73[Amount])</f>
        <v>0</v>
      </c>
      <c r="E160" s="34"/>
      <c r="F160" s="170" t="s">
        <v>33</v>
      </c>
      <c r="G160" s="171"/>
      <c r="H160" s="171"/>
    </row>
    <row r="161" spans="6:8" x14ac:dyDescent="0.3">
      <c r="F161" s="170"/>
      <c r="G161" s="171"/>
      <c r="H161" s="171"/>
    </row>
  </sheetData>
  <sheetProtection algorithmName="SHA-512" hashValue="LmzdnqLXHMOPCuIxjQBW3B4HQA+x/+2Rmp+xf0OoNCnQP9BPxHdQ1ZiM/r5rqS/fxID0vS/Y0w3v3vbyJAuCdA==" saltValue="L5RyIuayZoX1VW3n7k+lA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Sheet'!B106="","",'Summary Sheet'!B106)</f>
        <v>5444 S LAFLIN ST</v>
      </c>
      <c r="C4" s="173"/>
      <c r="D4" s="130"/>
      <c r="E4" s="4"/>
      <c r="F4" s="130"/>
      <c r="G4" s="130"/>
      <c r="H4" s="5"/>
    </row>
    <row r="5" spans="1:14" ht="15" customHeight="1" x14ac:dyDescent="0.25">
      <c r="A5" s="75" t="s">
        <v>20</v>
      </c>
      <c r="B5" s="174" t="str">
        <f>IF('Summary Sheet'!C106="","",'Summary Sheet'!C106)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34810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34810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SUM(Demolition_74[Amount])</f>
        <v>34810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SUM(Rehab_74[Amount])</f>
        <v>0</v>
      </c>
      <c r="E160" s="34"/>
      <c r="F160" s="170" t="s">
        <v>33</v>
      </c>
      <c r="G160" s="171"/>
      <c r="H160" s="171"/>
    </row>
    <row r="161" spans="6:8" x14ac:dyDescent="0.3">
      <c r="F161" s="170"/>
      <c r="G161" s="171"/>
      <c r="H161" s="171"/>
    </row>
  </sheetData>
  <sheetProtection algorithmName="SHA-512" hashValue="JLUJWCzWvloFR8O1casAVfDvOjL/KSDwgYJ9EBwUPqHtonMm2GWGcVdJfFI77Qc3Bf7qQBR/QncoxpT1HBoWRA==" saltValue="MBKgeQEiqSIHjPxbrJGS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0"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Sheet'!B107="","",'Summary Sheet'!B107)</f>
        <v>5538 S LAFAYETTE AVE</v>
      </c>
      <c r="C4" s="173"/>
      <c r="D4" s="130"/>
      <c r="E4" s="4"/>
      <c r="F4" s="130"/>
      <c r="G4" s="130"/>
      <c r="H4" s="5"/>
    </row>
    <row r="5" spans="1:14" ht="15" customHeight="1" x14ac:dyDescent="0.25">
      <c r="A5" s="75" t="s">
        <v>20</v>
      </c>
      <c r="B5" s="174" t="str">
        <f>IF('Summary Sheet'!C107="","",'Summary Sheet'!C107)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SUM(Demolition_75[Amount])</f>
        <v>22510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SUM(Rehab_75[Amount])</f>
        <v>0</v>
      </c>
      <c r="E160" s="34"/>
      <c r="F160" s="170" t="s">
        <v>33</v>
      </c>
      <c r="G160" s="171"/>
      <c r="H160" s="171"/>
    </row>
    <row r="161" spans="6:8" x14ac:dyDescent="0.3">
      <c r="F161" s="170"/>
      <c r="G161" s="171"/>
      <c r="H161" s="171"/>
    </row>
  </sheetData>
  <sheetProtection algorithmName="SHA-512" hashValue="9dsoTCGx45QHjPt2474D1YutZ7qP6xXaswX6PYJovvAeqqQh6U+f8zAVSGMmCFlmJ5tt0yMdSABwSPJXpEHNsQ==" saltValue="0BstRpD61oU73NwVqvkz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Sheet'!B108="","",'Summary Sheet'!B108)</f>
        <v>5540 S LAFAYETTE AVE</v>
      </c>
      <c r="C4" s="173"/>
      <c r="D4" s="130"/>
      <c r="E4" s="4"/>
      <c r="F4" s="130"/>
      <c r="G4" s="130"/>
      <c r="H4" s="5"/>
    </row>
    <row r="5" spans="1:14" ht="15" customHeight="1" x14ac:dyDescent="0.25">
      <c r="A5" s="75" t="s">
        <v>20</v>
      </c>
      <c r="B5" s="174" t="str">
        <f>IF('Summary Sheet'!C108="","",'Summary Sheet'!C108)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SUM(Demolition_76[Amount])</f>
        <v>23310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SUM(Rehab_76[Amount])</f>
        <v>0</v>
      </c>
      <c r="E160" s="34"/>
      <c r="F160" s="170" t="s">
        <v>33</v>
      </c>
      <c r="G160" s="171"/>
      <c r="H160" s="171"/>
    </row>
    <row r="161" spans="6:8" x14ac:dyDescent="0.3">
      <c r="F161" s="170"/>
      <c r="G161" s="171"/>
      <c r="H161" s="171"/>
    </row>
  </sheetData>
  <sheetProtection algorithmName="SHA-512" hashValue="poEi/JkROLeJfynVjTDkwMszUXTngK0+2YqXGx0o7FWYaqTjbKHFGgONevYgnljMivASqhCxivyisVSdyhhE1Q==" saltValue="YfoRebZTE5/Bqosi4oMbf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Sheet'!B109="","",'Summary Sheet'!B109)</f>
        <v>5541 S SHIELDS AVE</v>
      </c>
      <c r="C4" s="173"/>
      <c r="D4" s="130"/>
      <c r="E4" s="4"/>
      <c r="F4" s="130"/>
      <c r="G4" s="130"/>
      <c r="H4" s="5"/>
    </row>
    <row r="5" spans="1:14" ht="15" customHeight="1" x14ac:dyDescent="0.25">
      <c r="A5" s="75" t="s">
        <v>20</v>
      </c>
      <c r="B5" s="174" t="str">
        <f>IF('Summary Sheet'!C109="","",'Summary Sheet'!C109)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SUM(Demolition_77[Amount])</f>
        <v>31510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SUM(Rehab_77[Amount])</f>
        <v>0</v>
      </c>
      <c r="E160" s="34"/>
      <c r="F160" s="170" t="s">
        <v>33</v>
      </c>
      <c r="G160" s="171"/>
      <c r="H160" s="171"/>
    </row>
    <row r="161" spans="6:8" x14ac:dyDescent="0.3">
      <c r="F161" s="170"/>
      <c r="G161" s="171"/>
      <c r="H161" s="171"/>
    </row>
  </sheetData>
  <sheetProtection algorithmName="SHA-512" hashValue="HGWp0wMZpzJqNRWC9DNnUAs6Ctgroy2kGGpfxyjoy69D1Yl42+Zr0j+mVS1/Am0+ya65ssXpSuf8fsj9c5KKjw==" saltValue="vZJ33dCJbqrCSXQErGY3H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Sheet'!B110="","",'Summary Sheet'!B110)</f>
        <v>5543 S JUSTINE ST</v>
      </c>
      <c r="C4" s="173"/>
      <c r="D4" s="130"/>
      <c r="E4" s="4"/>
      <c r="F4" s="130"/>
      <c r="G4" s="130"/>
      <c r="H4" s="5"/>
    </row>
    <row r="5" spans="1:14" ht="15" customHeight="1" x14ac:dyDescent="0.25">
      <c r="A5" s="75" t="s">
        <v>20</v>
      </c>
      <c r="B5" s="174" t="str">
        <f>IF('Summary Sheet'!C110="","",'Summary Sheet'!C110)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SUM(Demolition_78[Amount])</f>
        <v>21410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SUM(Rehab_78[Amount])</f>
        <v>0</v>
      </c>
      <c r="E160" s="34"/>
      <c r="F160" s="170" t="s">
        <v>33</v>
      </c>
      <c r="G160" s="171"/>
      <c r="H160" s="171"/>
    </row>
    <row r="161" spans="6:8" x14ac:dyDescent="0.3">
      <c r="F161" s="170"/>
      <c r="G161" s="171"/>
      <c r="H161" s="171"/>
    </row>
  </sheetData>
  <sheetProtection algorithmName="SHA-512" hashValue="UfMuaQZKFOFb7Ly08CdyPrqJvBzWSDkyHDT4a9Wtj3111hDn76mB3D2jo3eEp3K9PiuDe+S7K5r45/8aW23GzA==" saltValue="t94zPvmmvkc3GvNMPgfC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Sheet'!B39="","",'Summary Sheet'!B39)</f>
        <v>4150 W JACKSON BLVD</v>
      </c>
      <c r="C4" s="173"/>
      <c r="D4" s="90"/>
      <c r="E4" s="4"/>
      <c r="F4" s="90"/>
      <c r="G4" s="90"/>
      <c r="H4" s="5"/>
    </row>
    <row r="5" spans="1:14" ht="15" customHeight="1" x14ac:dyDescent="0.25">
      <c r="A5" s="75" t="s">
        <v>20</v>
      </c>
      <c r="B5" s="174" t="str">
        <f>IF('Summary Sheet'!C39="","",'Summary Sheet'!C39)</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36010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36010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SUM(Demolition_7[Amount])</f>
        <v>36010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SUM(Rehab_7[Amount])</f>
        <v>0</v>
      </c>
      <c r="E160" s="34"/>
      <c r="F160" s="170" t="s">
        <v>33</v>
      </c>
      <c r="G160" s="171"/>
      <c r="H160" s="171"/>
    </row>
    <row r="161" spans="6:8" x14ac:dyDescent="0.3">
      <c r="F161" s="170"/>
      <c r="G161" s="171"/>
      <c r="H161" s="171"/>
    </row>
  </sheetData>
  <sheetProtection algorithmName="SHA-512" hashValue="HiGLHhNA47FDBQaoh8F0csbx6G20Ek8Rtcfjiqdvx5oqSflM9hWARL+AmHNhIGNq98LLZv+POoff7MRCQsS1Bw==" saltValue="pUcztSRmknf9wnWInowr3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Sheet'!B111="","",'Summary Sheet'!B111)</f>
        <v>557 N CICERO AVE</v>
      </c>
      <c r="C4" s="173"/>
      <c r="D4" s="130"/>
      <c r="E4" s="4"/>
      <c r="F4" s="130"/>
      <c r="G4" s="130"/>
      <c r="H4" s="5"/>
    </row>
    <row r="5" spans="1:14" ht="15" customHeight="1" x14ac:dyDescent="0.25">
      <c r="A5" s="75" t="s">
        <v>20</v>
      </c>
      <c r="B5" s="174" t="str">
        <f>IF('Summary Sheet'!C111="","",'Summary Sheet'!C111)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56410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56410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SUM(Demolition_79[Amount])</f>
        <v>56410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SUM(Rehab_79[Amount])</f>
        <v>0</v>
      </c>
      <c r="E160" s="34"/>
      <c r="F160" s="170" t="s">
        <v>33</v>
      </c>
      <c r="G160" s="171"/>
      <c r="H160" s="171"/>
    </row>
    <row r="161" spans="6:8" x14ac:dyDescent="0.3">
      <c r="F161" s="170"/>
      <c r="G161" s="171"/>
      <c r="H161" s="171"/>
    </row>
  </sheetData>
  <sheetProtection algorithmName="SHA-512" hashValue="qTmvzVE5KnhAjT65USTlWCUHiJ7D5tmzZZU+JJbg8EKW7i5H8R+jdVPPnGMR8O0VPbqIlZ4K41fLwIDHSDZDpw==" saltValue="R/blZwQWuWka2s6/kopj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Sheet'!B112="","",'Summary Sheet'!B112)</f>
        <v>5619 S ADA ST</v>
      </c>
      <c r="C4" s="173"/>
      <c r="D4" s="130"/>
      <c r="E4" s="4"/>
      <c r="F4" s="130"/>
      <c r="G4" s="130"/>
      <c r="H4" s="5"/>
    </row>
    <row r="5" spans="1:14" ht="15" customHeight="1" x14ac:dyDescent="0.25">
      <c r="A5" s="75" t="s">
        <v>20</v>
      </c>
      <c r="B5" s="174" t="str">
        <f>IF('Summary Sheet'!C112="","",'Summary Sheet'!C112)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25410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25410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SUM(Demolition_80[Amount])</f>
        <v>25410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SUM(Rehab_80[Amount])</f>
        <v>0</v>
      </c>
      <c r="E160" s="34"/>
      <c r="F160" s="170" t="s">
        <v>33</v>
      </c>
      <c r="G160" s="171"/>
      <c r="H160" s="171"/>
    </row>
    <row r="161" spans="6:8" x14ac:dyDescent="0.3">
      <c r="F161" s="170"/>
      <c r="G161" s="171"/>
      <c r="H161" s="171"/>
    </row>
  </sheetData>
  <sheetProtection algorithmName="SHA-512" hashValue="voG5yHhCo+klR+N/KHiCgDcQ0va9dwlt6jAsd/ggwPbuORj4ki0xeXZEffsnh1l7yS2ZsYThGiBE2Iw8UMNwqg==" saltValue="TGDJBV+yPDcTW8qQ6gA7S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Sheet'!B113="","",'Summary Sheet'!B113)</f>
        <v>5620 S PAULINA ST</v>
      </c>
      <c r="C4" s="173"/>
      <c r="D4" s="130"/>
      <c r="E4" s="4"/>
      <c r="F4" s="130"/>
      <c r="G4" s="130"/>
      <c r="H4" s="5"/>
    </row>
    <row r="5" spans="1:14" ht="15" customHeight="1" x14ac:dyDescent="0.25">
      <c r="A5" s="75" t="s">
        <v>20</v>
      </c>
      <c r="B5" s="174" t="str">
        <f>IF('Summary Sheet'!C113="","",'Summary Sheet'!C113)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SUM(Demolition_81[Amount])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SUM(Rehab_81[Amount])</f>
        <v>0</v>
      </c>
      <c r="E160" s="34"/>
      <c r="F160" s="170" t="s">
        <v>33</v>
      </c>
      <c r="G160" s="171"/>
      <c r="H160" s="171"/>
    </row>
    <row r="161" spans="6:8" x14ac:dyDescent="0.3">
      <c r="F161" s="170"/>
      <c r="G161" s="171"/>
      <c r="H161" s="171"/>
    </row>
  </sheetData>
  <sheetProtection algorithmName="SHA-512" hashValue="jfIZDzJ4ZD18hONFxbaQW4fmUkmdu4c6Y7vewxFsK7MuzFYDjS6izCpCbrs+ACPiHhXoxwXqjlwn4RvJI4PbnA==" saltValue="Hrdjh5KVZeRcitTzvks7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Sheet'!B114="","",'Summary Sheet'!B114)</f>
        <v>5635 S SHIELDS AVE</v>
      </c>
      <c r="C4" s="173"/>
      <c r="D4" s="130"/>
      <c r="E4" s="4"/>
      <c r="F4" s="130"/>
      <c r="G4" s="130"/>
      <c r="H4" s="5"/>
    </row>
    <row r="5" spans="1:14" ht="15" customHeight="1" x14ac:dyDescent="0.25">
      <c r="A5" s="75" t="s">
        <v>20</v>
      </c>
      <c r="B5" s="174" t="str">
        <f>IF('Summary Sheet'!C114="","",'Summary Sheet'!C114)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SUM(Demolition_82[Amount])</f>
        <v>18810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SUM(Rehab_82[Amount])</f>
        <v>0</v>
      </c>
      <c r="E160" s="34"/>
      <c r="F160" s="170" t="s">
        <v>33</v>
      </c>
      <c r="G160" s="171"/>
      <c r="H160" s="171"/>
    </row>
    <row r="161" spans="6:8" x14ac:dyDescent="0.3">
      <c r="F161" s="170"/>
      <c r="G161" s="171"/>
      <c r="H161" s="171"/>
    </row>
  </sheetData>
  <sheetProtection algorithmName="SHA-512" hashValue="s2dNJGlwrbgJlQOqyM8Z0m3HbAd7A/dxPsinGz7g1xYUU1qyChB9GuG5LsGcoqGZGXsRkL3Bk7LoRJYJkeC6og==" saltValue="3i/GxLVY66Hrgp3f0Y1Yz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Sheet'!B115="","",'Summary Sheet'!B115)</f>
        <v>5708 N RIDGE AVE</v>
      </c>
      <c r="C4" s="173"/>
      <c r="D4" s="130"/>
      <c r="E4" s="4"/>
      <c r="F4" s="130"/>
      <c r="G4" s="130"/>
      <c r="H4" s="5"/>
    </row>
    <row r="5" spans="1:14" ht="15" customHeight="1" x14ac:dyDescent="0.25">
      <c r="A5" s="75" t="s">
        <v>20</v>
      </c>
      <c r="B5" s="174" t="str">
        <f>IF('Summary Sheet'!C115="","",'Summary Sheet'!C115)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29810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SUM(Demolition_83[Amount])</f>
        <v>29810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SUM(Rehab_83[Amount])</f>
        <v>0</v>
      </c>
      <c r="E160" s="34"/>
      <c r="F160" s="170" t="s">
        <v>33</v>
      </c>
      <c r="G160" s="171"/>
      <c r="H160" s="171"/>
    </row>
    <row r="161" spans="6:8" x14ac:dyDescent="0.3">
      <c r="F161" s="170"/>
      <c r="G161" s="171"/>
      <c r="H161" s="171"/>
    </row>
  </sheetData>
  <sheetProtection algorithmName="SHA-512" hashValue="uue+BUKoHy0aV6KAQBNu38NXJPzpGAdg5ZumQnmswprYhb+wkxf027JlN/43s1JJAcMEmH0rj9A+YUHBNsevbQ==" saltValue="JTpGDKiaDGKhOXcuAtFPb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Sheet'!B116="","",'Summary Sheet'!B116)</f>
        <v>5718 S DAMEN AVE</v>
      </c>
      <c r="C4" s="173"/>
      <c r="D4" s="130"/>
      <c r="E4" s="4"/>
      <c r="F4" s="130"/>
      <c r="G4" s="130"/>
      <c r="H4" s="5"/>
    </row>
    <row r="5" spans="1:14" ht="15" customHeight="1" x14ac:dyDescent="0.25">
      <c r="A5" s="75" t="s">
        <v>20</v>
      </c>
      <c r="B5" s="174" t="str">
        <f>IF('Summary Sheet'!C116="","",'Summary Sheet'!C116)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SUM(Demolition_84[Amount])</f>
        <v>23210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SUM(Rehab_84[Amount])</f>
        <v>0</v>
      </c>
      <c r="E160" s="34"/>
      <c r="F160" s="170" t="s">
        <v>33</v>
      </c>
      <c r="G160" s="171"/>
      <c r="H160" s="171"/>
    </row>
    <row r="161" spans="6:8" x14ac:dyDescent="0.3">
      <c r="F161" s="170"/>
      <c r="G161" s="171"/>
      <c r="H161" s="171"/>
    </row>
  </sheetData>
  <sheetProtection algorithmName="SHA-512" hashValue="ew4KYEQKZXVj4HRtIXoVJH2R/1DvrYW/KFI3DhPLE86BNhv+bkEUNcSI7cZgOmOE2EQc+Uf5rR1j/v8ZeuxAKQ==" saltValue="1VpzsDkT0QKU9vCO3xME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Sheet'!B117="","",'Summary Sheet'!B117)</f>
        <v>5721 S ABERDEEN ST</v>
      </c>
      <c r="C4" s="173"/>
      <c r="D4" s="130"/>
      <c r="E4" s="4"/>
      <c r="F4" s="130"/>
      <c r="G4" s="130"/>
      <c r="H4" s="5"/>
    </row>
    <row r="5" spans="1:14" ht="15" customHeight="1" x14ac:dyDescent="0.25">
      <c r="A5" s="75" t="s">
        <v>20</v>
      </c>
      <c r="B5" s="174" t="str">
        <f>IF('Summary Sheet'!C117="","",'Summary Sheet'!C117)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SUM(Demolition_85[Amount])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SUM(Rehab_85[Amount])</f>
        <v>0</v>
      </c>
      <c r="E160" s="34"/>
      <c r="F160" s="170" t="s">
        <v>33</v>
      </c>
      <c r="G160" s="171"/>
      <c r="H160" s="171"/>
    </row>
    <row r="161" spans="6:8" x14ac:dyDescent="0.3">
      <c r="F161" s="170"/>
      <c r="G161" s="171"/>
      <c r="H161" s="171"/>
    </row>
  </sheetData>
  <sheetProtection algorithmName="SHA-512" hashValue="y5jqOlMBzO3XbvpBCCF5216MzmY3Avy1hn93aGT1iZSyUbx0wUN4L6IiLK3ZMbUXSEvbVFIyJ8Q173d1w8fvjw==" saltValue="YTO53lqH6wT3S0Sxrnjx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Sheet'!B118="","",'Summary Sheet'!B118)</f>
        <v>5726 S PEORIA ST</v>
      </c>
      <c r="C4" s="173"/>
      <c r="D4" s="130"/>
      <c r="E4" s="4"/>
      <c r="F4" s="130"/>
      <c r="G4" s="130"/>
      <c r="H4" s="5"/>
    </row>
    <row r="5" spans="1:14" ht="15" customHeight="1" x14ac:dyDescent="0.25">
      <c r="A5" s="75" t="s">
        <v>20</v>
      </c>
      <c r="B5" s="174" t="str">
        <f>IF('Summary Sheet'!C118="","",'Summary Sheet'!C118)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SUM(Demolition_86[Amount])</f>
        <v>27310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SUM(Rehab_86[Amount])</f>
        <v>0</v>
      </c>
      <c r="E160" s="34"/>
      <c r="F160" s="170" t="s">
        <v>33</v>
      </c>
      <c r="G160" s="171"/>
      <c r="H160" s="171"/>
    </row>
    <row r="161" spans="6:8" x14ac:dyDescent="0.3">
      <c r="F161" s="170"/>
      <c r="G161" s="171"/>
      <c r="H161" s="171"/>
    </row>
  </sheetData>
  <sheetProtection algorithmName="SHA-512" hashValue="SADsncgX0n4OvcSpnCbo3F8wWzJAQxNbEaXYiiiDmzNeGUby2qUXNJdPfxZCCUL4lCgnWwW54EM2qTbFmMTfRA==" saltValue="31+kIqdwpn6bQJHVWtMs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Sheet'!B119="","",'Summary Sheet'!B119)</f>
        <v>5734 S ARTESIAN AVE</v>
      </c>
      <c r="C4" s="173"/>
      <c r="D4" s="130"/>
      <c r="E4" s="4"/>
      <c r="F4" s="130"/>
      <c r="G4" s="130"/>
      <c r="H4" s="5"/>
    </row>
    <row r="5" spans="1:14" ht="15" customHeight="1" x14ac:dyDescent="0.25">
      <c r="A5" s="75" t="s">
        <v>20</v>
      </c>
      <c r="B5" s="174" t="str">
        <f>IF('Summary Sheet'!C119="","",'Summary Sheet'!C119)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SUM(Demolition_87[Amount])</f>
        <v>31810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SUM(Rehab_87[Amount])</f>
        <v>0</v>
      </c>
      <c r="E160" s="34"/>
      <c r="F160" s="170" t="s">
        <v>33</v>
      </c>
      <c r="G160" s="171"/>
      <c r="H160" s="171"/>
    </row>
    <row r="161" spans="6:8" x14ac:dyDescent="0.3">
      <c r="F161" s="170"/>
      <c r="G161" s="171"/>
      <c r="H161" s="171"/>
    </row>
  </sheetData>
  <sheetProtection algorithmName="SHA-512" hashValue="qdYy2mTMkAGwDN5nmaXTkP9B7XHSu+69YMkpm9WS1o492RLUk/yseBiZPsA8HlrGX5boYo7FWiAvbeI1L4qWuA==" saltValue="nptkltf2+6UapA2VWJ6M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Sheet'!B120="","",'Summary Sheet'!B120)</f>
        <v>5735 S HAMILTON AVE</v>
      </c>
      <c r="C4" s="173"/>
      <c r="D4" s="130"/>
      <c r="E4" s="4"/>
      <c r="F4" s="130"/>
      <c r="G4" s="130"/>
      <c r="H4" s="5"/>
    </row>
    <row r="5" spans="1:14" ht="15" customHeight="1" x14ac:dyDescent="0.25">
      <c r="A5" s="75" t="s">
        <v>20</v>
      </c>
      <c r="B5" s="174" t="str">
        <f>IF('Summary Sheet'!C120="","",'Summary Sheet'!C120)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16810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16810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SUM(Demolition_88[Amount])</f>
        <v>16810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SUM(Rehab_88[Amount])</f>
        <v>0</v>
      </c>
      <c r="E160" s="34"/>
      <c r="F160" s="170" t="s">
        <v>33</v>
      </c>
      <c r="G160" s="171"/>
      <c r="H160" s="171"/>
    </row>
    <row r="161" spans="6:8" x14ac:dyDescent="0.3">
      <c r="F161" s="170"/>
      <c r="G161" s="171"/>
      <c r="H161" s="171"/>
    </row>
  </sheetData>
  <sheetProtection algorithmName="SHA-512" hashValue="FY3gz+D3+F0MmiJcLqFbJCX5nzlwK4I5SgAsBX26isqH77oawlF1ZODXhJVxnL/Veb9AqkVtQopyDh8Id+wG8Q==" saltValue="s0mBlmowQiFIqhjfoJt0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Sheet'!B40="","",'Summary Sheet'!B40)</f>
        <v>41 W 111TH PL</v>
      </c>
      <c r="C4" s="173"/>
      <c r="D4" s="90"/>
      <c r="E4" s="4"/>
      <c r="F4" s="90"/>
      <c r="G4" s="90"/>
      <c r="H4" s="5"/>
    </row>
    <row r="5" spans="1:14" ht="15" customHeight="1" x14ac:dyDescent="0.25">
      <c r="A5" s="75" t="s">
        <v>20</v>
      </c>
      <c r="B5" s="174" t="str">
        <f>IF('Summary Sheet'!C40="","",'Summary Sheet'!C40)</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16510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16510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SUM(Demolition_8[Amount])</f>
        <v>16510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SUM(Rehab_8[Amount])</f>
        <v>0</v>
      </c>
      <c r="E160" s="34"/>
      <c r="F160" s="170" t="s">
        <v>33</v>
      </c>
      <c r="G160" s="171"/>
      <c r="H160" s="171"/>
    </row>
    <row r="161" spans="6:8" x14ac:dyDescent="0.3">
      <c r="F161" s="170"/>
      <c r="G161" s="171"/>
      <c r="H161" s="171"/>
    </row>
  </sheetData>
  <sheetProtection algorithmName="SHA-512" hashValue="x0t7Oh3boHLD9HYmNazVXzL4yoRU7sQVjJgiOwlbrqoBKvoH6wHK+I2TJYURC3g/63qZBHkqjhUefQFHj6eMvQ==" saltValue="1Q/rA6z+39E9Q/wX6T6rX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Sheet'!B121="","",'Summary Sheet'!B121)</f>
        <v>5747 S DAMEN AVE</v>
      </c>
      <c r="C4" s="173"/>
      <c r="D4" s="130"/>
      <c r="E4" s="4"/>
      <c r="F4" s="130"/>
      <c r="G4" s="130"/>
      <c r="H4" s="5"/>
    </row>
    <row r="5" spans="1:14" ht="15" customHeight="1" x14ac:dyDescent="0.25">
      <c r="A5" s="75" t="s">
        <v>20</v>
      </c>
      <c r="B5" s="174" t="str">
        <f>IF('Summary Sheet'!C121="","",'Summary Sheet'!C121)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SUM(Demolition_89[Amount])</f>
        <v>23210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SUM(Rehab_89[Amount])</f>
        <v>0</v>
      </c>
      <c r="E160" s="34"/>
      <c r="F160" s="170" t="s">
        <v>33</v>
      </c>
      <c r="G160" s="171"/>
      <c r="H160" s="171"/>
    </row>
    <row r="161" spans="6:8" x14ac:dyDescent="0.3">
      <c r="F161" s="170"/>
      <c r="G161" s="171"/>
      <c r="H161" s="171"/>
    </row>
  </sheetData>
  <sheetProtection algorithmName="SHA-512" hashValue="hTSkl1k2F0eaf4SnGO/grl/473xzPyR3pTR6wPDcGAu6tK8Zutld8rsNS4lofdVEs6Sg9lfTdDigdPIVhtEk0Q==" saltValue="Z+UwD+RashxkjCM8SjfT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Sheet'!B122="","",'Summary Sheet'!B122)</f>
        <v>5751 S HOYNE AVE</v>
      </c>
      <c r="C4" s="173"/>
      <c r="D4" s="130"/>
      <c r="E4" s="4"/>
      <c r="F4" s="130"/>
      <c r="G4" s="130"/>
      <c r="H4" s="5"/>
    </row>
    <row r="5" spans="1:14" ht="15" customHeight="1" x14ac:dyDescent="0.25">
      <c r="A5" s="75" t="s">
        <v>20</v>
      </c>
      <c r="B5" s="174" t="str">
        <f>IF('Summary Sheet'!C122="","",'Summary Sheet'!C122)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SUM(Demolition_90[Amount])</f>
        <v>19210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SUM(Rehab_90[Amount])</f>
        <v>0</v>
      </c>
      <c r="E160" s="34"/>
      <c r="F160" s="170" t="s">
        <v>33</v>
      </c>
      <c r="G160" s="171"/>
      <c r="H160" s="171"/>
    </row>
    <row r="161" spans="6:8" x14ac:dyDescent="0.3">
      <c r="F161" s="170"/>
      <c r="G161" s="171"/>
      <c r="H161" s="171"/>
    </row>
  </sheetData>
  <sheetProtection algorithmName="SHA-512" hashValue="aIlzSD7us7KBEX1gpsld30FXnWL7I71zKwvUYyytMSVZuW6ybSEPHpCS3LG/qjdxUqFnKv21Wr9Frjo5SmFYIg==" saltValue="O+3Qe7/cORk4uTJHD8P7F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Sheet'!B123="","",'Summary Sheet'!B123)</f>
        <v>5858 W DIVISION ST</v>
      </c>
      <c r="C4" s="173"/>
      <c r="D4" s="130"/>
      <c r="E4" s="4"/>
      <c r="F4" s="130"/>
      <c r="G4" s="130"/>
      <c r="H4" s="5"/>
    </row>
    <row r="5" spans="1:14" ht="15" customHeight="1" x14ac:dyDescent="0.25">
      <c r="A5" s="75" t="s">
        <v>20</v>
      </c>
      <c r="B5" s="174" t="str">
        <f>IF('Summary Sheet'!C123="","",'Summary Sheet'!C123)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44510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44510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SUM(Demolition_91[Amount])</f>
        <v>44510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SUM(Rehab_91[Amount])</f>
        <v>0</v>
      </c>
      <c r="E160" s="34"/>
      <c r="F160" s="170" t="s">
        <v>33</v>
      </c>
      <c r="G160" s="171"/>
      <c r="H160" s="171"/>
    </row>
    <row r="161" spans="6:8" x14ac:dyDescent="0.3">
      <c r="F161" s="170"/>
      <c r="G161" s="171"/>
      <c r="H161" s="171"/>
    </row>
  </sheetData>
  <sheetProtection algorithmName="SHA-512" hashValue="9hJH1KTF7kmlrHSZb7QMjjmhBJSlV/VplvItID/j3IrRNssiJDvpXB0+yFY6mKV1nsoCvsdwMwF1ScpirUJDFA==" saltValue="LXFaci7xtor8Aq8XIuwX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Sheet'!B124="","",'Summary Sheet'!B124)</f>
        <v>58 E 101ST PL</v>
      </c>
      <c r="C4" s="173"/>
      <c r="D4" s="130"/>
      <c r="E4" s="4"/>
      <c r="F4" s="130"/>
      <c r="G4" s="130"/>
      <c r="H4" s="5"/>
    </row>
    <row r="5" spans="1:14" ht="15" customHeight="1" x14ac:dyDescent="0.25">
      <c r="A5" s="75" t="s">
        <v>20</v>
      </c>
      <c r="B5" s="174" t="str">
        <f>IF('Summary Sheet'!C124="","",'Summary Sheet'!C124)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SUM(Demolition_92[Amount])</f>
        <v>19210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SUM(Rehab_92[Amount])</f>
        <v>0</v>
      </c>
      <c r="E160" s="34"/>
      <c r="F160" s="170" t="s">
        <v>33</v>
      </c>
      <c r="G160" s="171"/>
      <c r="H160" s="171"/>
    </row>
    <row r="161" spans="6:8" x14ac:dyDescent="0.3">
      <c r="F161" s="170"/>
      <c r="G161" s="171"/>
      <c r="H161" s="171"/>
    </row>
  </sheetData>
  <sheetProtection algorithmName="SHA-512" hashValue="+DoWtfnGdqPfsGrpZIMUx2yzKXjy3hZaY4QScDUGNSqimMJEJaCNZc3j7OVysy9URV15zgpMzSE8v67OLrMkEg==" saltValue="/XowNvZWdCY9BIKDcBzcx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Sheet'!B125="","",'Summary Sheet'!B125)</f>
        <v>5916 S PAULINA ST</v>
      </c>
      <c r="C4" s="173"/>
      <c r="D4" s="130"/>
      <c r="E4" s="4"/>
      <c r="F4" s="130"/>
      <c r="G4" s="130"/>
      <c r="H4" s="5"/>
    </row>
    <row r="5" spans="1:14" ht="15" customHeight="1" x14ac:dyDescent="0.25">
      <c r="A5" s="75" t="s">
        <v>20</v>
      </c>
      <c r="B5" s="174" t="str">
        <f>IF('Summary Sheet'!C125="","",'Summary Sheet'!C125)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SUM(Demolition_93[Amount])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SUM(Rehab_93[Amount])</f>
        <v>0</v>
      </c>
      <c r="E160" s="34"/>
      <c r="F160" s="170" t="s">
        <v>33</v>
      </c>
      <c r="G160" s="171"/>
      <c r="H160" s="171"/>
    </row>
    <row r="161" spans="6:8" x14ac:dyDescent="0.3">
      <c r="F161" s="170"/>
      <c r="G161" s="171"/>
      <c r="H161" s="171"/>
    </row>
  </sheetData>
  <sheetProtection algorithmName="SHA-512" hashValue="1+ZpHcqkVYsk5J3Q0FNVaxumcenbFKYyRlCjF9Pxof6mHpBCPF9i77PJL/cMG1cAFXQNrHKgvqcA7jRFsnNM1w==" saltValue="ger63yI5e+wOYJ0FzUSeu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Sheet'!B126="","",'Summary Sheet'!B126)</f>
        <v>5920 S GREEN ST</v>
      </c>
      <c r="C4" s="173"/>
      <c r="D4" s="130"/>
      <c r="E4" s="4"/>
      <c r="F4" s="130"/>
      <c r="G4" s="130"/>
      <c r="H4" s="5"/>
    </row>
    <row r="5" spans="1:14" ht="15" customHeight="1" x14ac:dyDescent="0.25">
      <c r="A5" s="75" t="s">
        <v>20</v>
      </c>
      <c r="B5" s="174" t="str">
        <f>IF('Summary Sheet'!C126="","",'Summary Sheet'!C126)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21710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21710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SUM(Demolition_94[Amount])</f>
        <v>21710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SUM(Rehab_94[Amount])</f>
        <v>0</v>
      </c>
      <c r="E160" s="34"/>
      <c r="F160" s="170" t="s">
        <v>33</v>
      </c>
      <c r="G160" s="171"/>
      <c r="H160" s="171"/>
    </row>
    <row r="161" spans="6:8" x14ac:dyDescent="0.3">
      <c r="F161" s="170"/>
      <c r="G161" s="171"/>
      <c r="H161" s="171"/>
    </row>
  </sheetData>
  <sheetProtection algorithmName="SHA-512" hashValue="63kIoNVRbHDCJcoECu2c78/y7YqmanW+ENG+Lyg2Xlm3uht61OAd3ODOVtaJxPKqWAxUjAOcIaTSIQa9MQ/I1Q==" saltValue="rfTo4vXIYGkiDTBFKeSR8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Sheet'!B127="","",'Summary Sheet'!B127)</f>
        <v>5944 S HERMITAGE AVE</v>
      </c>
      <c r="C4" s="173"/>
      <c r="D4" s="130"/>
      <c r="E4" s="4"/>
      <c r="F4" s="130"/>
      <c r="G4" s="130"/>
      <c r="H4" s="5"/>
    </row>
    <row r="5" spans="1:14" ht="15" customHeight="1" x14ac:dyDescent="0.25">
      <c r="A5" s="75" t="s">
        <v>20</v>
      </c>
      <c r="B5" s="174" t="str">
        <f>IF('Summary Sheet'!C127="","",'Summary Sheet'!C127)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SUM(Demolition_95[Amount])</f>
        <v>17510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SUM(Rehab_95[Amount])</f>
        <v>0</v>
      </c>
      <c r="E160" s="34"/>
      <c r="F160" s="170" t="s">
        <v>33</v>
      </c>
      <c r="G160" s="171"/>
      <c r="H160" s="171"/>
    </row>
    <row r="161" spans="6:8" x14ac:dyDescent="0.3">
      <c r="F161" s="170"/>
      <c r="G161" s="171"/>
      <c r="H161" s="171"/>
    </row>
  </sheetData>
  <sheetProtection algorithmName="SHA-512" hashValue="iFKtnPu/CSnrc/qO2t9kGu61qqdsKeu1VADVSsQmI0Wd4KbuW7gan0Z+CcP7YMP50fXsKC0KhSqZgbSrODwagg==" saltValue="Q0S/2CMXzQ1758NVuuSQ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Sheet'!B128="","",'Summary Sheet'!B128)</f>
        <v>6044 S ADA ST</v>
      </c>
      <c r="C4" s="173"/>
      <c r="D4" s="130"/>
      <c r="E4" s="4"/>
      <c r="F4" s="130"/>
      <c r="G4" s="130"/>
      <c r="H4" s="5"/>
    </row>
    <row r="5" spans="1:14" ht="15" customHeight="1" x14ac:dyDescent="0.25">
      <c r="A5" s="75" t="s">
        <v>20</v>
      </c>
      <c r="B5" s="174" t="str">
        <f>IF('Summary Sheet'!C128="","",'Summary Sheet'!C128)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SUM(Demolition_96[Amount])</f>
        <v>22410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SUM(Rehab_96[Amount])</f>
        <v>0</v>
      </c>
      <c r="E160" s="34"/>
      <c r="F160" s="170" t="s">
        <v>33</v>
      </c>
      <c r="G160" s="171"/>
      <c r="H160" s="171"/>
    </row>
    <row r="161" spans="6:8" x14ac:dyDescent="0.3">
      <c r="F161" s="170"/>
      <c r="G161" s="171"/>
      <c r="H161" s="171"/>
    </row>
  </sheetData>
  <sheetProtection algorithmName="SHA-512" hashValue="ZLlueQngrbO26+YTb3XlB8i8mCIb+dIE5VjS9F3mevOR266DpzLj6WkywuHLO6Ii8U/9UfjrVB1/gTN/KG9yLQ==" saltValue="NsK3VCWfoJqrm+PBA6AnJ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Sheet'!B129="","",'Summary Sheet'!B129)</f>
        <v>6058 S RACINE AVE</v>
      </c>
      <c r="C4" s="173"/>
      <c r="D4" s="130"/>
      <c r="E4" s="4"/>
      <c r="F4" s="130"/>
      <c r="G4" s="130"/>
      <c r="H4" s="5"/>
    </row>
    <row r="5" spans="1:14" ht="15" customHeight="1" x14ac:dyDescent="0.25">
      <c r="A5" s="75" t="s">
        <v>20</v>
      </c>
      <c r="B5" s="174" t="str">
        <f>IF('Summary Sheet'!C129="","",'Summary Sheet'!C129)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35010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35010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SUM(Demolition_97[Amount])</f>
        <v>35010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SUM(Rehab_97[Amount])</f>
        <v>0</v>
      </c>
      <c r="E160" s="34"/>
      <c r="F160" s="170" t="s">
        <v>33</v>
      </c>
      <c r="G160" s="171"/>
      <c r="H160" s="171"/>
    </row>
    <row r="161" spans="6:8" x14ac:dyDescent="0.3">
      <c r="F161" s="170"/>
      <c r="G161" s="171"/>
      <c r="H161" s="171"/>
    </row>
  </sheetData>
  <sheetProtection algorithmName="SHA-512" hashValue="TN41bVWYxotSStPkRQJrSO/4Aiqbcngj+wb2VM8IDOasli1i6WaeQqQcbdzEinKO1oQzF7JC9275mHI34m91jA==" saltValue="mNp4VLDoVpj85kFc1wup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Sheet'!B130="","",'Summary Sheet'!B130)</f>
        <v>6108 S MARSHFIELD AVE</v>
      </c>
      <c r="C4" s="173"/>
      <c r="D4" s="130"/>
      <c r="E4" s="4"/>
      <c r="F4" s="130"/>
      <c r="G4" s="130"/>
      <c r="H4" s="5"/>
    </row>
    <row r="5" spans="1:14" ht="15" customHeight="1" x14ac:dyDescent="0.25">
      <c r="A5" s="75" t="s">
        <v>20</v>
      </c>
      <c r="B5" s="174" t="str">
        <f>IF('Summary Sheet'!C130="","",'Summary Sheet'!C130)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SUM(Demolition_98[Amount])</f>
        <v>17510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SUM(Rehab_98[Amount])</f>
        <v>0</v>
      </c>
      <c r="E160" s="34"/>
      <c r="F160" s="170" t="s">
        <v>33</v>
      </c>
      <c r="G160" s="171"/>
      <c r="H160" s="171"/>
    </row>
    <row r="161" spans="6:8" x14ac:dyDescent="0.3">
      <c r="F161" s="170"/>
      <c r="G161" s="171"/>
      <c r="H161" s="171"/>
    </row>
  </sheetData>
  <sheetProtection algorithmName="SHA-512" hashValue="1h921Phr4yuG+rcdpbu3shhvfCZc+E+sF21APyXBG5RDLXhKMvSwQCl3OxKkjXAb9fVsh7MXcfX1BscPNWNqnQ==" saltValue="PNkQ01p3jYZQVDu2tZ8n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101</vt:i4>
      </vt:variant>
    </vt:vector>
  </HeadingPairs>
  <TitlesOfParts>
    <vt:vector size="202" baseType="lpstr">
      <vt:lpstr>Summary Sheet</vt:lpstr>
      <vt:lpstr>(Property 1)</vt:lpstr>
      <vt:lpstr>(Property 2)</vt:lpstr>
      <vt:lpstr>(Property 3)</vt:lpstr>
      <vt:lpstr>(Property 4)</vt:lpstr>
      <vt:lpstr>(Property 5)</vt:lpstr>
      <vt:lpstr>(Property 6)</vt:lpstr>
      <vt:lpstr>(Property 7)</vt:lpstr>
      <vt:lpstr>(Property 8)</vt:lpstr>
      <vt:lpstr>(Property 9)</vt:lpstr>
      <vt:lpstr>(Property 10)</vt:lpstr>
      <vt:lpstr>(Property 11)</vt:lpstr>
      <vt:lpstr>(Property 12)</vt:lpstr>
      <vt:lpstr>(Property 13)</vt:lpstr>
      <vt:lpstr>(Property 14)</vt:lpstr>
      <vt:lpstr>(Property 15)</vt:lpstr>
      <vt:lpstr>(Property 16)</vt:lpstr>
      <vt:lpstr>(Property 17)</vt:lpstr>
      <vt:lpstr>(Property 18)</vt:lpstr>
      <vt:lpstr>(Property 19)</vt:lpstr>
      <vt:lpstr>(Property 20)</vt:lpstr>
      <vt:lpstr>(Property 21)</vt:lpstr>
      <vt:lpstr>(Property 22)</vt:lpstr>
      <vt:lpstr>(Property 23)</vt:lpstr>
      <vt:lpstr>(Property 24)</vt:lpstr>
      <vt:lpstr>(Property 25)</vt:lpstr>
      <vt:lpstr>(Property 26)</vt:lpstr>
      <vt:lpstr>(Property 27)</vt:lpstr>
      <vt:lpstr>(Property 28)</vt:lpstr>
      <vt:lpstr>(Property 29)</vt:lpstr>
      <vt:lpstr>(Property 30)</vt:lpstr>
      <vt:lpstr>(Property 31)</vt:lpstr>
      <vt:lpstr>(Property 32)</vt:lpstr>
      <vt:lpstr>(Property 33)</vt:lpstr>
      <vt:lpstr>(Property 34)</vt:lpstr>
      <vt:lpstr>(Property 35)</vt:lpstr>
      <vt:lpstr>(Property 36)</vt:lpstr>
      <vt:lpstr>(Property 37)</vt:lpstr>
      <vt:lpstr>(Property 38)</vt:lpstr>
      <vt:lpstr>(Property 39)</vt:lpstr>
      <vt:lpstr>(Property 40)</vt:lpstr>
      <vt:lpstr>(Property 41)</vt:lpstr>
      <vt:lpstr>(Property 42)</vt:lpstr>
      <vt:lpstr>(Property 43)</vt:lpstr>
      <vt:lpstr>(Property 44)</vt:lpstr>
      <vt:lpstr>(Property 45)</vt:lpstr>
      <vt:lpstr>(Property 46)</vt:lpstr>
      <vt:lpstr>(Property 47)</vt:lpstr>
      <vt:lpstr>(Property 48)</vt:lpstr>
      <vt:lpstr>(Property 49)</vt:lpstr>
      <vt:lpstr>(Property 50)</vt:lpstr>
      <vt:lpstr>(Property 51)</vt:lpstr>
      <vt:lpstr>(Property 52)</vt:lpstr>
      <vt:lpstr>(Property 53)</vt:lpstr>
      <vt:lpstr>(Property 54)</vt:lpstr>
      <vt:lpstr>(Property 55)</vt:lpstr>
      <vt:lpstr>(Property 56)</vt:lpstr>
      <vt:lpstr>(Property 57)</vt:lpstr>
      <vt:lpstr>(Property 58)</vt:lpstr>
      <vt:lpstr>(Property 59)</vt:lpstr>
      <vt:lpstr>(Property 60)</vt:lpstr>
      <vt:lpstr>(Property 61)</vt:lpstr>
      <vt:lpstr>(Property 62)</vt:lpstr>
      <vt:lpstr>(Property 63)</vt:lpstr>
      <vt:lpstr>(Property 64)</vt:lpstr>
      <vt:lpstr>(Property 65)</vt:lpstr>
      <vt:lpstr>(Property 66)</vt:lpstr>
      <vt:lpstr>(Property 67)</vt:lpstr>
      <vt:lpstr>(Property 68)</vt:lpstr>
      <vt:lpstr>(Property 69)</vt:lpstr>
      <vt:lpstr>(Property 70)</vt:lpstr>
      <vt:lpstr>(Property 71)</vt:lpstr>
      <vt:lpstr>(Property 72)</vt:lpstr>
      <vt:lpstr>(Property 73)</vt:lpstr>
      <vt:lpstr>(Property 74)</vt:lpstr>
      <vt:lpstr>(Property 75)</vt:lpstr>
      <vt:lpstr>(Property 76)</vt:lpstr>
      <vt:lpstr>(Property 77)</vt:lpstr>
      <vt:lpstr>(Property 78)</vt:lpstr>
      <vt:lpstr>(Property 79)</vt:lpstr>
      <vt:lpstr>(Property 80)</vt:lpstr>
      <vt:lpstr>(Property 81)</vt:lpstr>
      <vt:lpstr>(Property 82)</vt:lpstr>
      <vt:lpstr>(Property 83)</vt:lpstr>
      <vt:lpstr>(Property 84)</vt:lpstr>
      <vt:lpstr>(Property 85)</vt:lpstr>
      <vt:lpstr>(Property 86)</vt:lpstr>
      <vt:lpstr>(Property 87)</vt:lpstr>
      <vt:lpstr>(Property 88)</vt:lpstr>
      <vt:lpstr>(Property 89)</vt:lpstr>
      <vt:lpstr>(Property 90)</vt:lpstr>
      <vt:lpstr>(Property 91)</vt:lpstr>
      <vt:lpstr>(Property 92)</vt:lpstr>
      <vt:lpstr>(Property 93)</vt:lpstr>
      <vt:lpstr>(Property 94)</vt:lpstr>
      <vt:lpstr>(Property 95)</vt:lpstr>
      <vt:lpstr>(Property 96)</vt:lpstr>
      <vt:lpstr>(Property 97)</vt:lpstr>
      <vt:lpstr>(Property 98)</vt:lpstr>
      <vt:lpstr>(Property 99)</vt:lpstr>
      <vt:lpstr>(Property 100)</vt:lpstr>
      <vt:lpstr>'(Property 1)'!Print_Area</vt:lpstr>
      <vt:lpstr>'(Property 10)'!Print_Area</vt:lpstr>
      <vt:lpstr>'(Property 100)'!Print_Area</vt:lpstr>
      <vt:lpstr>'(Property 11)'!Print_Area</vt:lpstr>
      <vt:lpstr>'(Property 12)'!Print_Area</vt:lpstr>
      <vt:lpstr>'(Property 13)'!Print_Area</vt:lpstr>
      <vt:lpstr>'(Property 14)'!Print_Area</vt:lpstr>
      <vt:lpstr>'(Property 15)'!Print_Area</vt:lpstr>
      <vt:lpstr>'(Property 16)'!Print_Area</vt:lpstr>
      <vt:lpstr>'(Property 17)'!Print_Area</vt:lpstr>
      <vt:lpstr>'(Property 18)'!Print_Area</vt:lpstr>
      <vt:lpstr>'(Property 19)'!Print_Area</vt:lpstr>
      <vt:lpstr>'(Property 2)'!Print_Area</vt:lpstr>
      <vt:lpstr>'(Property 20)'!Print_Area</vt:lpstr>
      <vt:lpstr>'(Property 21)'!Print_Area</vt:lpstr>
      <vt:lpstr>'(Property 22)'!Print_Area</vt:lpstr>
      <vt:lpstr>'(Property 23)'!Print_Area</vt:lpstr>
      <vt:lpstr>'(Property 24)'!Print_Area</vt:lpstr>
      <vt:lpstr>'(Property 25)'!Print_Area</vt:lpstr>
      <vt:lpstr>'(Property 26)'!Print_Area</vt:lpstr>
      <vt:lpstr>'(Property 27)'!Print_Area</vt:lpstr>
      <vt:lpstr>'(Property 28)'!Print_Area</vt:lpstr>
      <vt:lpstr>'(Property 29)'!Print_Area</vt:lpstr>
      <vt:lpstr>'(Property 3)'!Print_Area</vt:lpstr>
      <vt:lpstr>'(Property 30)'!Print_Area</vt:lpstr>
      <vt:lpstr>'(Property 31)'!Print_Area</vt:lpstr>
      <vt:lpstr>'(Property 32)'!Print_Area</vt:lpstr>
      <vt:lpstr>'(Property 33)'!Print_Area</vt:lpstr>
      <vt:lpstr>'(Property 34)'!Print_Area</vt:lpstr>
      <vt:lpstr>'(Property 35)'!Print_Area</vt:lpstr>
      <vt:lpstr>'(Property 36)'!Print_Area</vt:lpstr>
      <vt:lpstr>'(Property 37)'!Print_Area</vt:lpstr>
      <vt:lpstr>'(Property 38)'!Print_Area</vt:lpstr>
      <vt:lpstr>'(Property 39)'!Print_Area</vt:lpstr>
      <vt:lpstr>'(Property 4)'!Print_Area</vt:lpstr>
      <vt:lpstr>'(Property 40)'!Print_Area</vt:lpstr>
      <vt:lpstr>'(Property 41)'!Print_Area</vt:lpstr>
      <vt:lpstr>'(Property 42)'!Print_Area</vt:lpstr>
      <vt:lpstr>'(Property 43)'!Print_Area</vt:lpstr>
      <vt:lpstr>'(Property 44)'!Print_Area</vt:lpstr>
      <vt:lpstr>'(Property 45)'!Print_Area</vt:lpstr>
      <vt:lpstr>'(Property 46)'!Print_Area</vt:lpstr>
      <vt:lpstr>'(Property 47)'!Print_Area</vt:lpstr>
      <vt:lpstr>'(Property 48)'!Print_Area</vt:lpstr>
      <vt:lpstr>'(Property 49)'!Print_Area</vt:lpstr>
      <vt:lpstr>'(Property 5)'!Print_Area</vt:lpstr>
      <vt:lpstr>'(Property 50)'!Print_Area</vt:lpstr>
      <vt:lpstr>'(Property 51)'!Print_Area</vt:lpstr>
      <vt:lpstr>'(Property 52)'!Print_Area</vt:lpstr>
      <vt:lpstr>'(Property 53)'!Print_Area</vt:lpstr>
      <vt:lpstr>'(Property 54)'!Print_Area</vt:lpstr>
      <vt:lpstr>'(Property 55)'!Print_Area</vt:lpstr>
      <vt:lpstr>'(Property 56)'!Print_Area</vt:lpstr>
      <vt:lpstr>'(Property 57)'!Print_Area</vt:lpstr>
      <vt:lpstr>'(Property 58)'!Print_Area</vt:lpstr>
      <vt:lpstr>'(Property 59)'!Print_Area</vt:lpstr>
      <vt:lpstr>'(Property 6)'!Print_Area</vt:lpstr>
      <vt:lpstr>'(Property 60)'!Print_Area</vt:lpstr>
      <vt:lpstr>'(Property 61)'!Print_Area</vt:lpstr>
      <vt:lpstr>'(Property 62)'!Print_Area</vt:lpstr>
      <vt:lpstr>'(Property 63)'!Print_Area</vt:lpstr>
      <vt:lpstr>'(Property 64)'!Print_Area</vt:lpstr>
      <vt:lpstr>'(Property 65)'!Print_Area</vt:lpstr>
      <vt:lpstr>'(Property 66)'!Print_Area</vt:lpstr>
      <vt:lpstr>'(Property 67)'!Print_Area</vt:lpstr>
      <vt:lpstr>'(Property 68)'!Print_Area</vt:lpstr>
      <vt:lpstr>'(Property 69)'!Print_Area</vt:lpstr>
      <vt:lpstr>'(Property 7)'!Print_Area</vt:lpstr>
      <vt:lpstr>'(Property 70)'!Print_Area</vt:lpstr>
      <vt:lpstr>'(Property 71)'!Print_Area</vt:lpstr>
      <vt:lpstr>'(Property 72)'!Print_Area</vt:lpstr>
      <vt:lpstr>'(Property 73)'!Print_Area</vt:lpstr>
      <vt:lpstr>'(Property 74)'!Print_Area</vt:lpstr>
      <vt:lpstr>'(Property 75)'!Print_Area</vt:lpstr>
      <vt:lpstr>'(Property 76)'!Print_Area</vt:lpstr>
      <vt:lpstr>'(Property 77)'!Print_Area</vt:lpstr>
      <vt:lpstr>'(Property 78)'!Print_Area</vt:lpstr>
      <vt:lpstr>'(Property 79)'!Print_Area</vt:lpstr>
      <vt:lpstr>'(Property 8)'!Print_Area</vt:lpstr>
      <vt:lpstr>'(Property 80)'!Print_Area</vt:lpstr>
      <vt:lpstr>'(Property 81)'!Print_Area</vt:lpstr>
      <vt:lpstr>'(Property 82)'!Print_Area</vt:lpstr>
      <vt:lpstr>'(Property 83)'!Print_Area</vt:lpstr>
      <vt:lpstr>'(Property 84)'!Print_Area</vt:lpstr>
      <vt:lpstr>'(Property 85)'!Print_Area</vt:lpstr>
      <vt:lpstr>'(Property 86)'!Print_Area</vt:lpstr>
      <vt:lpstr>'(Property 87)'!Print_Area</vt:lpstr>
      <vt:lpstr>'(Property 88)'!Print_Area</vt:lpstr>
      <vt:lpstr>'(Property 89)'!Print_Area</vt:lpstr>
      <vt:lpstr>'(Property 9)'!Print_Area</vt:lpstr>
      <vt:lpstr>'(Property 90)'!Print_Area</vt:lpstr>
      <vt:lpstr>'(Property 91)'!Print_Area</vt:lpstr>
      <vt:lpstr>'(Property 92)'!Print_Area</vt:lpstr>
      <vt:lpstr>'(Property 93)'!Print_Area</vt:lpstr>
      <vt:lpstr>'(Property 94)'!Print_Area</vt:lpstr>
      <vt:lpstr>'(Property 95)'!Print_Area</vt:lpstr>
      <vt:lpstr>'(Property 96)'!Print_Area</vt:lpstr>
      <vt:lpstr>'(Property 97)'!Print_Area</vt:lpstr>
      <vt:lpstr>'(Property 98)'!Print_Area</vt:lpstr>
      <vt:lpstr>'(Property 99)'!Print_Area</vt:lpstr>
      <vt:lpstr>'Summary Sheet'!Print_Area</vt:lpstr>
    </vt:vector>
  </TitlesOfParts>
  <Company>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Mueller</dc:creator>
  <cp:lastModifiedBy>Administrator</cp:lastModifiedBy>
  <cp:lastPrinted>2017-10-10T18:04:10Z</cp:lastPrinted>
  <dcterms:created xsi:type="dcterms:W3CDTF">2017-05-17T13:12:42Z</dcterms:created>
  <dcterms:modified xsi:type="dcterms:W3CDTF">2017-10-10T18:04:15Z</dcterms:modified>
</cp:coreProperties>
</file>